
<file path=[Content_Types].xml><?xml version="1.0" encoding="utf-8"?>
<Types xmlns="http://schemas.openxmlformats.org/package/2006/content-type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drawings/drawing74.xml" ContentType="application/vnd.openxmlformats-officedocument.drawing+xml"/>
  <Override PartName="/xl/drawings/drawing75.xml" ContentType="application/vnd.openxmlformats-officedocument.drawing+xml"/>
  <Override PartName="/xl/drawings/drawing76.xml" ContentType="application/vnd.openxmlformats-officedocument.drawing+xml"/>
  <Override PartName="/xl/drawings/drawing77.xml" ContentType="application/vnd.openxmlformats-officedocument.drawing+xml"/>
  <Override PartName="/xl/drawings/drawing78.xml" ContentType="application/vnd.openxmlformats-officedocument.drawing+xml"/>
  <Override PartName="/xl/drawings/drawing79.xml" ContentType="application/vnd.openxmlformats-officedocument.drawing+xml"/>
  <Override PartName="/xl/drawings/drawing80.xml" ContentType="application/vnd.openxmlformats-officedocument.drawing+xml"/>
  <Override PartName="/xl/drawings/drawing81.xml" ContentType="application/vnd.openxmlformats-officedocument.drawing+xml"/>
  <Override PartName="/xl/drawings/drawing82.xml" ContentType="application/vnd.openxmlformats-officedocument.drawing+xml"/>
  <Override PartName="/xl/drawings/drawing83.xml" ContentType="application/vnd.openxmlformats-officedocument.drawing+xml"/>
  <Override PartName="/xl/drawings/drawing84.xml" ContentType="application/vnd.openxmlformats-officedocument.drawing+xml"/>
  <Override PartName="/xl/drawings/drawing85.xml" ContentType="application/vnd.openxmlformats-officedocument.drawing+xml"/>
  <Override PartName="/xl/drawings/drawing86.xml" ContentType="application/vnd.openxmlformats-officedocument.drawing+xml"/>
  <Override PartName="/xl/drawings/drawing87.xml" ContentType="application/vnd.openxmlformats-officedocument.drawing+xml"/>
  <Override PartName="/xl/drawings/drawing88.xml" ContentType="application/vnd.openxmlformats-officedocument.drawing+xml"/>
  <Override PartName="/xl/drawings/drawing89.xml" ContentType="application/vnd.openxmlformats-officedocument.drawing+xml"/>
  <Override PartName="/xl/drawings/drawing90.xml" ContentType="application/vnd.openxmlformats-officedocument.drawing+xml"/>
  <Override PartName="/xl/drawings/drawing91.xml" ContentType="application/vnd.openxmlformats-officedocument.drawing+xml"/>
  <Override PartName="/xl/drawings/drawing92.xml" ContentType="application/vnd.openxmlformats-officedocument.drawing+xml"/>
  <Override PartName="/xl/drawings/drawing93.xml" ContentType="application/vnd.openxmlformats-officedocument.drawing+xml"/>
  <Override PartName="/xl/drawings/drawing94.xml" ContentType="application/vnd.openxmlformats-officedocument.drawing+xml"/>
  <Override PartName="/xl/drawings/drawing95.xml" ContentType="application/vnd.openxmlformats-officedocument.drawing+xml"/>
  <Override PartName="/xl/drawings/drawing96.xml" ContentType="application/vnd.openxmlformats-officedocument.drawing+xml"/>
  <Override PartName="/xl/drawings/drawing97.xml" ContentType="application/vnd.openxmlformats-officedocument.drawing+xml"/>
  <Override PartName="/xl/drawings/drawing98.xml" ContentType="application/vnd.openxmlformats-officedocument.drawing+xml"/>
  <Override PartName="/xl/drawings/drawing99.xml" ContentType="application/vnd.openxmlformats-officedocument.drawing+xml"/>
  <Override PartName="/xl/drawings/drawing100.xml" ContentType="application/vnd.openxmlformats-officedocument.drawing+xml"/>
  <Override PartName="/xl/drawings/drawing101.xml" ContentType="application/vnd.openxmlformats-officedocument.drawing+xml"/>
  <Override PartName="/xl/drawings/drawing102.xml" ContentType="application/vnd.openxmlformats-officedocument.drawing+xml"/>
  <Override PartName="/xl/drawings/drawing103.xml" ContentType="application/vnd.openxmlformats-officedocument.drawing+xml"/>
  <Override PartName="/xl/drawings/drawing104.xml" ContentType="application/vnd.openxmlformats-officedocument.drawing+xml"/>
  <Override PartName="/xl/drawings/drawing105.xml" ContentType="application/vnd.openxmlformats-officedocument.drawing+xml"/>
  <Override PartName="/xl/drawings/drawing106.xml" ContentType="application/vnd.openxmlformats-officedocument.drawing+xml"/>
  <Override PartName="/xl/drawings/drawing107.xml" ContentType="application/vnd.openxmlformats-officedocument.drawing+xml"/>
  <Override PartName="/xl/drawings/drawing108.xml" ContentType="application/vnd.openxmlformats-officedocument.drawing+xml"/>
  <Override PartName="/xl/drawings/drawing109.xml" ContentType="application/vnd.openxmlformats-officedocument.drawing+xml"/>
  <Override PartName="/xl/drawings/drawing110.xml" ContentType="application/vnd.openxmlformats-officedocument.drawing+xml"/>
  <Override PartName="/xl/drawings/drawing111.xml" ContentType="application/vnd.openxmlformats-officedocument.drawing+xml"/>
  <Override PartName="/xl/drawings/drawing112.xml" ContentType="application/vnd.openxmlformats-officedocument.drawing+xml"/>
  <Override PartName="/xl/drawings/drawing113.xml" ContentType="application/vnd.openxmlformats-officedocument.drawing+xml"/>
  <Override PartName="/xl/drawings/drawing114.xml" ContentType="application/vnd.openxmlformats-officedocument.drawing+xml"/>
  <Override PartName="/xl/drawings/drawing115.xml" ContentType="application/vnd.openxmlformats-officedocument.drawing+xml"/>
  <Override PartName="/xl/drawings/drawing116.xml" ContentType="application/vnd.openxmlformats-officedocument.drawing+xml"/>
  <Override PartName="/xl/drawings/drawing117.xml" ContentType="application/vnd.openxmlformats-officedocument.drawing+xml"/>
  <Override PartName="/xl/drawings/drawing118.xml" ContentType="application/vnd.openxmlformats-officedocument.drawing+xml"/>
  <Override PartName="/xl/drawings/drawing119.xml" ContentType="application/vnd.openxmlformats-officedocument.drawing+xml"/>
  <Override PartName="/xl/drawings/drawing120.xml" ContentType="application/vnd.openxmlformats-officedocument.drawing+xml"/>
  <Override PartName="/xl/drawings/drawing121.xml" ContentType="application/vnd.openxmlformats-officedocument.drawing+xml"/>
  <Override PartName="/xl/drawings/drawing122.xml" ContentType="application/vnd.openxmlformats-officedocument.drawing+xml"/>
  <Override PartName="/xl/drawings/drawing123.xml" ContentType="application/vnd.openxmlformats-officedocument.drawing+xml"/>
  <Override PartName="/xl/drawings/drawing124.xml" ContentType="application/vnd.openxmlformats-officedocument.drawing+xml"/>
  <Override PartName="/xl/drawings/drawing125.xml" ContentType="application/vnd.openxmlformats-officedocument.drawing+xml"/>
  <Override PartName="/xl/drawings/drawing126.xml" ContentType="application/vnd.openxmlformats-officedocument.drawing+xml"/>
  <Override PartName="/xl/drawings/drawing127.xml" ContentType="application/vnd.openxmlformats-officedocument.drawing+xml"/>
  <Override PartName="/xl/drawings/drawing128.xml" ContentType="application/vnd.openxmlformats-officedocument.drawing+xml"/>
  <Override PartName="/xl/drawings/drawing129.xml" ContentType="application/vnd.openxmlformats-officedocument.drawing+xml"/>
  <Override PartName="/xl/drawings/drawing130.xml" ContentType="application/vnd.openxmlformats-officedocument.drawing+xml"/>
  <Override PartName="/xl/drawings/drawing131.xml" ContentType="application/vnd.openxmlformats-officedocument.drawing+xml"/>
  <Override PartName="/xl/drawings/drawing132.xml" ContentType="application/vnd.openxmlformats-officedocument.drawing+xml"/>
  <Override PartName="/xl/drawings/drawing133.xml" ContentType="application/vnd.openxmlformats-officedocument.drawing+xml"/>
  <Override PartName="/xl/drawings/drawing134.xml" ContentType="application/vnd.openxmlformats-officedocument.drawing+xml"/>
  <Override PartName="/xl/drawings/drawing135.xml" ContentType="application/vnd.openxmlformats-officedocument.drawing+xml"/>
  <Override PartName="/xl/drawings/drawing136.xml" ContentType="application/vnd.openxmlformats-officedocument.drawing+xml"/>
  <Override PartName="/xl/drawings/drawing137.xml" ContentType="application/vnd.openxmlformats-officedocument.drawing+xml"/>
  <Override PartName="/xl/drawings/drawing138.xml" ContentType="application/vnd.openxmlformats-officedocument.drawing+xml"/>
  <Override PartName="/xl/drawings/drawing139.xml" ContentType="application/vnd.openxmlformats-officedocument.drawing+xml"/>
  <Override PartName="/xl/drawings/drawing140.xml" ContentType="application/vnd.openxmlformats-officedocument.drawing+xml"/>
  <Override PartName="/xl/drawings/drawing141.xml" ContentType="application/vnd.openxmlformats-officedocument.drawing+xml"/>
  <Override PartName="/xl/drawings/drawing142.xml" ContentType="application/vnd.openxmlformats-officedocument.drawing+xml"/>
  <Override PartName="/xl/drawings/drawing143.xml" ContentType="application/vnd.openxmlformats-officedocument.drawing+xml"/>
  <Override PartName="/xl/drawings/drawing144.xml" ContentType="application/vnd.openxmlformats-officedocument.drawing+xml"/>
  <Override PartName="/xl/drawings/drawing145.xml" ContentType="application/vnd.openxmlformats-officedocument.drawing+xml"/>
  <Override PartName="/xl/drawings/drawing146.xml" ContentType="application/vnd.openxmlformats-officedocument.drawing+xml"/>
  <Override PartName="/xl/drawings/drawing147.xml" ContentType="application/vnd.openxmlformats-officedocument.drawing+xml"/>
  <Override PartName="/xl/drawings/drawing148.xml" ContentType="application/vnd.openxmlformats-officedocument.drawing+xml"/>
  <Override PartName="/xl/drawings/drawing149.xml" ContentType="application/vnd.openxmlformats-officedocument.drawing+xml"/>
  <Override PartName="/xl/drawings/drawing150.xml" ContentType="application/vnd.openxmlformats-officedocument.drawing+xml"/>
  <Override PartName="/xl/drawings/drawing151.xml" ContentType="application/vnd.openxmlformats-officedocument.drawing+xml"/>
  <Override PartName="/xl/drawings/drawing152.xml" ContentType="application/vnd.openxmlformats-officedocument.drawing+xml"/>
  <Override PartName="/xl/drawings/drawing153.xml" ContentType="application/vnd.openxmlformats-officedocument.drawing+xml"/>
  <Override PartName="/xl/drawings/drawing154.xml" ContentType="application/vnd.openxmlformats-officedocument.drawing+xml"/>
  <Override PartName="/xl/drawings/drawing155.xml" ContentType="application/vnd.openxmlformats-officedocument.drawing+xml"/>
  <Override PartName="/xl/drawings/drawing156.xml" ContentType="application/vnd.openxmlformats-officedocument.drawing+xml"/>
  <Override PartName="/xl/drawings/drawing157.xml" ContentType="application/vnd.openxmlformats-officedocument.drawing+xml"/>
  <Override PartName="/xl/drawings/drawing158.xml" ContentType="application/vnd.openxmlformats-officedocument.drawing+xml"/>
  <Override PartName="/xl/drawings/drawing159.xml" ContentType="application/vnd.openxmlformats-officedocument.drawing+xml"/>
  <Override PartName="/xl/drawings/drawing160.xml" ContentType="application/vnd.openxmlformats-officedocument.drawing+xml"/>
  <Override PartName="/xl/drawings/drawing161.xml" ContentType="application/vnd.openxmlformats-officedocument.drawing+xml"/>
  <Override PartName="/xl/drawings/drawing162.xml" ContentType="application/vnd.openxmlformats-officedocument.drawing+xml"/>
  <Override PartName="/xl/drawings/drawing163.xml" ContentType="application/vnd.openxmlformats-officedocument.drawing+xml"/>
  <Override PartName="/xl/drawings/drawing164.xml" ContentType="application/vnd.openxmlformats-officedocument.drawing+xml"/>
  <Override PartName="/xl/drawings/drawing165.xml" ContentType="application/vnd.openxmlformats-officedocument.drawing+xml"/>
  <Override PartName="/xl/drawings/drawing166.xml" ContentType="application/vnd.openxmlformats-officedocument.drawing+xml"/>
  <Override PartName="/xl/drawings/drawing167.xml" ContentType="application/vnd.openxmlformats-officedocument.drawing+xml"/>
  <Override PartName="/xl/drawings/drawing168.xml" ContentType="application/vnd.openxmlformats-officedocument.drawing+xml"/>
  <Override PartName="/xl/drawings/drawing169.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128"/>
  <workbookPr/>
  <mc:AlternateContent xmlns:mc="http://schemas.openxmlformats.org/markup-compatibility/2006">
    <mc:Choice Requires="x15">
      <x15ac:absPath xmlns:x15ac="http://schemas.microsoft.com/office/spreadsheetml/2010/11/ac" url="C:\Users\BenMurphy\Public First Dropbox\Policy and Research Team\Polling\Client Tables\AWS EU - Digital Decade\Europe\Consumer\Tables\"/>
    </mc:Choice>
  </mc:AlternateContent>
  <xr:revisionPtr revIDLastSave="0" documentId="13_ncr:1_{67A7BE74-DC04-4F41-80D5-10C9F36FC61E}" xr6:coauthVersionLast="47" xr6:coauthVersionMax="47" xr10:uidLastSave="{00000000-0000-0000-0000-000000000000}"/>
  <bookViews>
    <workbookView xWindow="-110" yWindow="-110" windowWidth="19420" windowHeight="10300" firstSheet="2" activeTab="2" xr2:uid="{00000000-000D-0000-FFFF-FFFF00000000}"/>
  </bookViews>
  <sheets>
    <sheet name="Rebases" sheetId="170" r:id="rId1"/>
    <sheet name="Cover Sheet" sheetId="1" r:id="rId2"/>
    <sheet name="Contents" sheetId="2" r:id="rId3"/>
    <sheet name="Full Results" sheetId="3" r:id="rId4"/>
    <sheet name="Table 1" sheetId="4" r:id="rId5"/>
    <sheet name="Table 2" sheetId="5" r:id="rId6"/>
    <sheet name="Table 3" sheetId="6" r:id="rId7"/>
    <sheet name="Table 4" sheetId="7" r:id="rId8"/>
    <sheet name="Table 5" sheetId="8" r:id="rId9"/>
    <sheet name="Table 6" sheetId="9" r:id="rId10"/>
    <sheet name="Table 7" sheetId="10" r:id="rId11"/>
    <sheet name="Table 8" sheetId="11" r:id="rId12"/>
    <sheet name="Table 9" sheetId="12" r:id="rId13"/>
    <sheet name="Table 10" sheetId="13" r:id="rId14"/>
    <sheet name="Table 11" sheetId="14" r:id="rId15"/>
    <sheet name="Table 12" sheetId="15" r:id="rId16"/>
    <sheet name="Table 13" sheetId="16" r:id="rId17"/>
    <sheet name="Table 14" sheetId="17" r:id="rId18"/>
    <sheet name="Table 15" sheetId="18" r:id="rId19"/>
    <sheet name="Table 16" sheetId="19" r:id="rId20"/>
    <sheet name="Table 17" sheetId="20" r:id="rId21"/>
    <sheet name="Table 18" sheetId="21" r:id="rId22"/>
    <sheet name="Table 19" sheetId="22" r:id="rId23"/>
    <sheet name="Table 20" sheetId="23" r:id="rId24"/>
    <sheet name="Table 21" sheetId="24" r:id="rId25"/>
    <sheet name="Table 22" sheetId="25" r:id="rId26"/>
    <sheet name="Table 23" sheetId="26" r:id="rId27"/>
    <sheet name="Table 24" sheetId="27" r:id="rId28"/>
    <sheet name="Table 25" sheetId="28" r:id="rId29"/>
    <sheet name="Table 26" sheetId="29" r:id="rId30"/>
    <sheet name="Table 27" sheetId="30" r:id="rId31"/>
    <sheet name="Table 28" sheetId="31" r:id="rId32"/>
    <sheet name="Table 29" sheetId="32" r:id="rId33"/>
    <sheet name="Table 30" sheetId="33" r:id="rId34"/>
    <sheet name="Table 31" sheetId="34" r:id="rId35"/>
    <sheet name="Table 32" sheetId="35" r:id="rId36"/>
    <sheet name="Table 33" sheetId="36" r:id="rId37"/>
    <sheet name="Table 34" sheetId="37" r:id="rId38"/>
    <sheet name="Table 35" sheetId="38" r:id="rId39"/>
    <sheet name="Table 36" sheetId="39" r:id="rId40"/>
    <sheet name="Table 37" sheetId="40" r:id="rId41"/>
    <sheet name="Table 38" sheetId="41" r:id="rId42"/>
    <sheet name="Table 39" sheetId="42" r:id="rId43"/>
    <sheet name="Table 40" sheetId="43" r:id="rId44"/>
    <sheet name="Table 41" sheetId="44" r:id="rId45"/>
    <sheet name="Table 42" sheetId="45" r:id="rId46"/>
    <sheet name="Table 43" sheetId="46" r:id="rId47"/>
    <sheet name="Table 44" sheetId="47" r:id="rId48"/>
    <sheet name="Table 45" sheetId="48" r:id="rId49"/>
    <sheet name="Table 46" sheetId="49" r:id="rId50"/>
    <sheet name="Table 47" sheetId="50" r:id="rId51"/>
    <sheet name="Table 48" sheetId="51" r:id="rId52"/>
    <sheet name="Table 49" sheetId="52" r:id="rId53"/>
    <sheet name="Table 50" sheetId="53" r:id="rId54"/>
    <sheet name="Table 51" sheetId="54" r:id="rId55"/>
    <sheet name="Table 52" sheetId="55" r:id="rId56"/>
    <sheet name="Table 53" sheetId="56" r:id="rId57"/>
    <sheet name="Table 54" sheetId="57" r:id="rId58"/>
    <sheet name="Table 55" sheetId="58" r:id="rId59"/>
    <sheet name="Table 56" sheetId="59" r:id="rId60"/>
    <sheet name="Table 57" sheetId="60" r:id="rId61"/>
    <sheet name="Table 58" sheetId="61" r:id="rId62"/>
    <sheet name="Table 59" sheetId="62" r:id="rId63"/>
    <sheet name="Table 60" sheetId="63" r:id="rId64"/>
    <sheet name="Table 61" sheetId="64" r:id="rId65"/>
    <sheet name="Table 62" sheetId="65" r:id="rId66"/>
    <sheet name="Table 63" sheetId="66" r:id="rId67"/>
    <sheet name="Table 64" sheetId="67" r:id="rId68"/>
    <sheet name="Table 65" sheetId="68" r:id="rId69"/>
    <sheet name="Table 66" sheetId="69" r:id="rId70"/>
    <sheet name="Table 67" sheetId="70" r:id="rId71"/>
    <sheet name="Table 68" sheetId="71" r:id="rId72"/>
    <sheet name="Table 69" sheetId="72" r:id="rId73"/>
    <sheet name="Table 70" sheetId="73" r:id="rId74"/>
    <sheet name="Table 71" sheetId="74" r:id="rId75"/>
    <sheet name="Table 72" sheetId="75" r:id="rId76"/>
    <sheet name="Table 73" sheetId="76" r:id="rId77"/>
    <sheet name="Table 74" sheetId="77" r:id="rId78"/>
    <sheet name="Table 75" sheetId="78" r:id="rId79"/>
    <sheet name="Table 76" sheetId="79" r:id="rId80"/>
    <sheet name="Table 77" sheetId="80" r:id="rId81"/>
    <sheet name="Table 78" sheetId="81" r:id="rId82"/>
    <sheet name="Table 79" sheetId="82" r:id="rId83"/>
    <sheet name="Table 80" sheetId="83" r:id="rId84"/>
    <sheet name="Table 81" sheetId="84" r:id="rId85"/>
    <sheet name="Table 82" sheetId="85" r:id="rId86"/>
    <sheet name="Table 83" sheetId="86" r:id="rId87"/>
    <sheet name="Table 84" sheetId="87" r:id="rId88"/>
    <sheet name="Table 85" sheetId="88" r:id="rId89"/>
    <sheet name="Table 86" sheetId="89" r:id="rId90"/>
    <sheet name="Table 87" sheetId="90" r:id="rId91"/>
    <sheet name="Table 88" sheetId="91" r:id="rId92"/>
    <sheet name="Table 89" sheetId="92" r:id="rId93"/>
    <sheet name="Table 90" sheetId="93" r:id="rId94"/>
    <sheet name="Table 91" sheetId="94" r:id="rId95"/>
    <sheet name="Table 92" sheetId="95" r:id="rId96"/>
    <sheet name="Table 93" sheetId="96" r:id="rId97"/>
    <sheet name="Table 94" sheetId="97" r:id="rId98"/>
    <sheet name="Table 95" sheetId="98" r:id="rId99"/>
    <sheet name="Table 96" sheetId="99" r:id="rId100"/>
    <sheet name="Table 97" sheetId="100" r:id="rId101"/>
    <sheet name="Table 98" sheetId="101" r:id="rId102"/>
    <sheet name="Table 99" sheetId="102" r:id="rId103"/>
    <sheet name="Table 100" sheetId="103" r:id="rId104"/>
    <sheet name="Table 101" sheetId="104" r:id="rId105"/>
    <sheet name="Table 102" sheetId="105" r:id="rId106"/>
    <sheet name="Table 103" sheetId="106" r:id="rId107"/>
    <sheet name="Table 104" sheetId="107" r:id="rId108"/>
    <sheet name="Table 105" sheetId="108" r:id="rId109"/>
    <sheet name="Table 106" sheetId="109" r:id="rId110"/>
    <sheet name="Table 107" sheetId="110" r:id="rId111"/>
    <sheet name="Table 108" sheetId="111" r:id="rId112"/>
    <sheet name="Table 109" sheetId="112" r:id="rId113"/>
    <sheet name="Table 110" sheetId="113" r:id="rId114"/>
    <sheet name="Table 111" sheetId="114" r:id="rId115"/>
    <sheet name="Table 112" sheetId="115" r:id="rId116"/>
    <sheet name="Table 113" sheetId="116" r:id="rId117"/>
    <sheet name="Table 114" sheetId="117" r:id="rId118"/>
    <sheet name="Table 115" sheetId="118" r:id="rId119"/>
    <sheet name="Table 116" sheetId="119" r:id="rId120"/>
    <sheet name="Table 117" sheetId="120" r:id="rId121"/>
    <sheet name="Table 118" sheetId="121" r:id="rId122"/>
    <sheet name="Table 119" sheetId="122" r:id="rId123"/>
    <sheet name="Table 120" sheetId="123" r:id="rId124"/>
    <sheet name="Table 121" sheetId="124" r:id="rId125"/>
    <sheet name="Table 122" sheetId="125" r:id="rId126"/>
    <sheet name="Table 123" sheetId="126" r:id="rId127"/>
    <sheet name="Table 124" sheetId="127" r:id="rId128"/>
    <sheet name="Table 125" sheetId="128" r:id="rId129"/>
    <sheet name="Table 126" sheetId="129" r:id="rId130"/>
    <sheet name="Table 127" sheetId="130" r:id="rId131"/>
    <sheet name="Table 128" sheetId="131" r:id="rId132"/>
    <sheet name="Table 129" sheetId="132" r:id="rId133"/>
    <sheet name="Table 130" sheetId="133" r:id="rId134"/>
    <sheet name="Table 131" sheetId="134" r:id="rId135"/>
    <sheet name="Table 132" sheetId="135" r:id="rId136"/>
    <sheet name="Table 133" sheetId="136" r:id="rId137"/>
    <sheet name="Table 134" sheetId="137" r:id="rId138"/>
    <sheet name="Table 135" sheetId="138" r:id="rId139"/>
    <sheet name="Table 136" sheetId="139" r:id="rId140"/>
    <sheet name="Table 137" sheetId="140" r:id="rId141"/>
    <sheet name="Table 138" sheetId="141" r:id="rId142"/>
    <sheet name="Table 139" sheetId="142" r:id="rId143"/>
    <sheet name="Table 140" sheetId="143" r:id="rId144"/>
    <sheet name="Table 141" sheetId="144" r:id="rId145"/>
    <sheet name="Table 142" sheetId="145" r:id="rId146"/>
    <sheet name="Table 143" sheetId="146" r:id="rId147"/>
    <sheet name="Table 144" sheetId="147" r:id="rId148"/>
    <sheet name="Table 145" sheetId="148" r:id="rId149"/>
    <sheet name="Table 146" sheetId="149" r:id="rId150"/>
    <sheet name="Table 147" sheetId="150" r:id="rId151"/>
    <sheet name="Table 148" sheetId="151" r:id="rId152"/>
    <sheet name="Table 149" sheetId="152" r:id="rId153"/>
    <sheet name="Table 150" sheetId="153" r:id="rId154"/>
    <sheet name="Table 151" sheetId="154" r:id="rId155"/>
    <sheet name="Table 152" sheetId="155" r:id="rId156"/>
    <sheet name="Table 153" sheetId="156" r:id="rId157"/>
    <sheet name="Table 154" sheetId="157" r:id="rId158"/>
    <sheet name="Table 155" sheetId="158" r:id="rId159"/>
    <sheet name="Table 156" sheetId="159" r:id="rId160"/>
    <sheet name="Table 157" sheetId="160" r:id="rId161"/>
    <sheet name="Table 158" sheetId="161" r:id="rId162"/>
    <sheet name="Table 159" sheetId="162" r:id="rId163"/>
    <sheet name="Table 160" sheetId="163" r:id="rId164"/>
    <sheet name="Table 161" sheetId="164" r:id="rId165"/>
    <sheet name="Table 162" sheetId="165" r:id="rId166"/>
    <sheet name="Table 163" sheetId="166" r:id="rId167"/>
    <sheet name="Table 164" sheetId="167" r:id="rId168"/>
    <sheet name="Table 165" sheetId="168" r:id="rId169"/>
    <sheet name="Table 166" sheetId="169" r:id="rId17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C2" i="170" l="1"/>
  <c r="D2" i="170"/>
  <c r="C3" i="170"/>
  <c r="D3" i="170"/>
  <c r="C4" i="170"/>
  <c r="D4" i="170"/>
  <c r="C5" i="170"/>
  <c r="D5" i="170"/>
  <c r="C6" i="170"/>
  <c r="D6" i="170"/>
  <c r="C7" i="170"/>
  <c r="D7" i="170"/>
  <c r="C8" i="170"/>
  <c r="D8" i="170"/>
  <c r="C9" i="170"/>
  <c r="D9" i="170"/>
  <c r="C10" i="170"/>
  <c r="D10" i="170"/>
  <c r="C11" i="170"/>
  <c r="D11" i="170"/>
  <c r="C12" i="170"/>
  <c r="D12" i="170"/>
  <c r="C13" i="170"/>
  <c r="D13" i="170"/>
  <c r="C14" i="170"/>
  <c r="D14" i="170"/>
  <c r="C15" i="170"/>
  <c r="D15" i="170"/>
  <c r="C16" i="170"/>
  <c r="D16" i="170"/>
  <c r="C17" i="170"/>
  <c r="D17" i="170"/>
  <c r="C18" i="170"/>
  <c r="D18" i="170"/>
  <c r="C19" i="170"/>
  <c r="D19" i="170"/>
  <c r="C20" i="170"/>
  <c r="D20" i="170"/>
  <c r="C21" i="170"/>
  <c r="D21" i="170"/>
  <c r="C22" i="170"/>
  <c r="D22" i="170"/>
  <c r="C23" i="170"/>
  <c r="D23" i="170"/>
  <c r="C24" i="170"/>
  <c r="D24" i="170"/>
  <c r="C25" i="170"/>
  <c r="D25" i="170"/>
  <c r="C26" i="170"/>
  <c r="D26" i="170"/>
  <c r="C27" i="170"/>
  <c r="D27" i="170"/>
  <c r="C28" i="170"/>
  <c r="D28" i="170"/>
  <c r="C29" i="170"/>
  <c r="D29" i="170"/>
  <c r="C30" i="170"/>
  <c r="D30" i="170"/>
  <c r="C31" i="170"/>
  <c r="D31" i="170"/>
  <c r="C32" i="170"/>
  <c r="D32" i="170"/>
  <c r="C33" i="170"/>
  <c r="D33" i="170"/>
  <c r="C34" i="170"/>
  <c r="D34" i="170"/>
  <c r="C35" i="170"/>
  <c r="D35" i="170"/>
  <c r="C36" i="170"/>
  <c r="D36" i="170"/>
  <c r="C37" i="170"/>
  <c r="D37" i="170"/>
  <c r="C38" i="170"/>
  <c r="D38" i="170"/>
  <c r="C39" i="170"/>
  <c r="D39" i="170"/>
  <c r="C40" i="170"/>
  <c r="D40" i="170"/>
  <c r="C41" i="170"/>
  <c r="D41" i="170"/>
  <c r="C42" i="170"/>
  <c r="D42" i="170"/>
  <c r="C43" i="170"/>
  <c r="D43" i="170"/>
  <c r="C44" i="170"/>
  <c r="D44" i="170"/>
  <c r="C45" i="170"/>
  <c r="D45" i="170"/>
  <c r="C46" i="170"/>
  <c r="D46" i="170"/>
  <c r="C47" i="170"/>
  <c r="D47" i="170"/>
  <c r="C48" i="170"/>
  <c r="D48" i="170"/>
  <c r="C49" i="170"/>
  <c r="D49" i="170"/>
  <c r="C50" i="170"/>
  <c r="D50" i="170"/>
  <c r="C51" i="170"/>
  <c r="D51" i="170"/>
  <c r="C52" i="170"/>
  <c r="D52" i="170"/>
  <c r="C53" i="170"/>
  <c r="D53" i="170"/>
  <c r="C54" i="170"/>
  <c r="D54" i="170"/>
  <c r="C55" i="170"/>
  <c r="D55" i="170"/>
  <c r="C56" i="170"/>
  <c r="D56" i="170"/>
  <c r="C57" i="170"/>
  <c r="D57" i="170"/>
  <c r="C58" i="170"/>
  <c r="D58" i="170"/>
  <c r="C59" i="170"/>
  <c r="D59" i="170"/>
  <c r="C60" i="170"/>
  <c r="D60" i="170"/>
  <c r="C61" i="170"/>
  <c r="D61" i="170"/>
  <c r="C62" i="170"/>
  <c r="D62" i="170"/>
  <c r="C63" i="170"/>
  <c r="D63" i="170"/>
  <c r="C64" i="170"/>
  <c r="D64" i="170"/>
  <c r="C65" i="170"/>
  <c r="D65" i="170"/>
  <c r="C66" i="170"/>
  <c r="D66" i="170"/>
  <c r="C67" i="170"/>
  <c r="D67" i="170"/>
  <c r="C68" i="170"/>
  <c r="D68" i="170"/>
  <c r="C69" i="170"/>
  <c r="D69" i="170"/>
  <c r="C70" i="170"/>
  <c r="D70" i="170"/>
  <c r="C71" i="170"/>
  <c r="D71" i="170"/>
  <c r="C72" i="170"/>
  <c r="D72" i="170"/>
  <c r="C73" i="170"/>
  <c r="D73" i="170"/>
  <c r="C74" i="170"/>
  <c r="D74" i="170"/>
  <c r="C75" i="170"/>
  <c r="D75" i="170"/>
  <c r="C76" i="170"/>
  <c r="D76" i="170"/>
  <c r="C77" i="170"/>
  <c r="D77" i="170"/>
  <c r="C78" i="170"/>
  <c r="D78" i="170"/>
  <c r="C79" i="170"/>
  <c r="D79" i="170"/>
  <c r="C80" i="170"/>
  <c r="D80" i="170"/>
  <c r="C81" i="170"/>
  <c r="D81" i="170"/>
  <c r="C82" i="170"/>
  <c r="D82" i="170"/>
  <c r="C83" i="170"/>
  <c r="D83" i="170"/>
  <c r="C84" i="170"/>
  <c r="D84" i="170"/>
  <c r="C85" i="170"/>
  <c r="D85" i="170"/>
  <c r="C86" i="170"/>
  <c r="D86" i="170"/>
  <c r="C87" i="170"/>
  <c r="D87" i="170"/>
  <c r="C88" i="170"/>
  <c r="D88" i="170"/>
  <c r="C89" i="170"/>
  <c r="D89" i="170"/>
  <c r="C90" i="170"/>
  <c r="D90" i="170"/>
  <c r="C91" i="170"/>
  <c r="D91" i="170"/>
  <c r="C92" i="170"/>
  <c r="D92" i="170"/>
  <c r="C93" i="170"/>
  <c r="D93" i="170"/>
  <c r="C94" i="170"/>
  <c r="D94" i="170"/>
  <c r="C95" i="170"/>
  <c r="D95" i="170"/>
  <c r="C96" i="170"/>
  <c r="D96" i="170"/>
  <c r="C97" i="170"/>
  <c r="D97" i="170"/>
  <c r="C98" i="170"/>
  <c r="D98" i="170"/>
  <c r="C99" i="170"/>
  <c r="D99" i="170"/>
  <c r="C100" i="170"/>
  <c r="D100" i="170"/>
  <c r="C101" i="170"/>
  <c r="D101" i="170"/>
  <c r="C102" i="170"/>
  <c r="D102" i="170"/>
  <c r="C103" i="170"/>
  <c r="D103" i="170"/>
  <c r="C104" i="170"/>
  <c r="D104" i="170"/>
  <c r="C105" i="170"/>
  <c r="D105" i="170"/>
  <c r="C106" i="170"/>
  <c r="D106" i="170"/>
  <c r="C107" i="170"/>
  <c r="D107" i="170"/>
  <c r="C108" i="170"/>
  <c r="D108" i="170"/>
  <c r="C109" i="170"/>
  <c r="D109" i="170"/>
  <c r="C110" i="170"/>
  <c r="D110" i="170"/>
  <c r="C111" i="170"/>
  <c r="D111" i="170"/>
  <c r="C112" i="170"/>
  <c r="D112" i="170"/>
  <c r="C113" i="170"/>
  <c r="D113" i="170"/>
  <c r="C114" i="170"/>
  <c r="D114" i="170"/>
  <c r="C115" i="170"/>
  <c r="D115" i="170"/>
  <c r="C116" i="170"/>
  <c r="D116" i="170"/>
  <c r="C117" i="170"/>
  <c r="D117" i="170"/>
  <c r="C118" i="170"/>
  <c r="D118" i="170"/>
  <c r="C119" i="170"/>
  <c r="D119" i="170"/>
  <c r="C120" i="170"/>
  <c r="D120" i="170"/>
  <c r="C121" i="170"/>
  <c r="D121" i="170"/>
  <c r="C122" i="170"/>
  <c r="D122" i="170"/>
  <c r="C123" i="170"/>
  <c r="D123" i="170"/>
  <c r="C124" i="170"/>
  <c r="D124" i="170"/>
  <c r="C125" i="170"/>
  <c r="D125" i="170"/>
  <c r="C126" i="170"/>
  <c r="D126" i="170"/>
  <c r="C127" i="170"/>
  <c r="D127" i="170"/>
  <c r="C128" i="170"/>
  <c r="D128" i="170"/>
  <c r="C129" i="170"/>
  <c r="D129" i="170"/>
  <c r="C130" i="170"/>
  <c r="D130" i="170"/>
  <c r="C131" i="170"/>
  <c r="D131" i="170"/>
  <c r="C132" i="170"/>
  <c r="D132" i="170"/>
  <c r="C133" i="170"/>
  <c r="D133" i="170"/>
  <c r="C134" i="170"/>
  <c r="D134" i="170"/>
  <c r="C135" i="170"/>
  <c r="D135" i="170"/>
  <c r="C136" i="170"/>
  <c r="D136" i="170"/>
  <c r="C137" i="170"/>
  <c r="D137" i="170"/>
  <c r="C138" i="170"/>
  <c r="D138" i="170"/>
  <c r="C139" i="170"/>
  <c r="D139" i="170"/>
  <c r="C140" i="170"/>
  <c r="D140" i="170"/>
  <c r="C141" i="170"/>
  <c r="D141" i="170"/>
  <c r="C142" i="170"/>
  <c r="D142" i="170"/>
  <c r="C143" i="170"/>
  <c r="D143" i="170"/>
  <c r="C144" i="170"/>
  <c r="D144" i="170"/>
  <c r="C145" i="170"/>
  <c r="D145" i="170"/>
  <c r="C146" i="170"/>
  <c r="D146" i="170"/>
  <c r="C147" i="170"/>
  <c r="D147" i="170"/>
  <c r="C148" i="170"/>
  <c r="D148" i="170"/>
  <c r="C149" i="170"/>
  <c r="D149" i="170"/>
  <c r="C150" i="170"/>
  <c r="D150" i="170"/>
  <c r="C151" i="170"/>
  <c r="D151" i="170"/>
  <c r="C152" i="170"/>
  <c r="D152" i="170"/>
  <c r="C153" i="170"/>
  <c r="D153" i="170"/>
  <c r="C154" i="170"/>
  <c r="D154" i="170"/>
  <c r="C155" i="170"/>
  <c r="D155" i="170"/>
  <c r="C156" i="170"/>
  <c r="D156" i="170"/>
  <c r="C157" i="170"/>
  <c r="D157" i="170"/>
  <c r="C158" i="170"/>
  <c r="D158" i="170"/>
  <c r="C159" i="170"/>
  <c r="D159" i="170"/>
  <c r="C160" i="170"/>
  <c r="D160" i="170"/>
  <c r="C161" i="170"/>
  <c r="D161" i="170"/>
  <c r="C162" i="170"/>
  <c r="D162" i="170"/>
  <c r="C163" i="170"/>
  <c r="D163" i="170"/>
  <c r="C164" i="170"/>
  <c r="D164" i="170"/>
  <c r="C165" i="170"/>
  <c r="D165" i="170"/>
  <c r="C166" i="170"/>
  <c r="D166" i="170"/>
  <c r="C167" i="170"/>
  <c r="D167" i="170"/>
  <c r="C168" i="170"/>
  <c r="D168" i="170"/>
  <c r="C169" i="170"/>
  <c r="D169" i="170"/>
  <c r="C170" i="170"/>
  <c r="D170" i="170"/>
  <c r="C171" i="170"/>
  <c r="D171" i="170"/>
  <c r="C172" i="170"/>
  <c r="D172" i="170"/>
  <c r="C173" i="170"/>
  <c r="D173" i="170"/>
  <c r="C174" i="170"/>
  <c r="D174" i="170"/>
  <c r="C175" i="170"/>
  <c r="D175" i="170"/>
  <c r="C176" i="170"/>
  <c r="D176" i="170"/>
  <c r="C177" i="170"/>
  <c r="D177" i="170"/>
  <c r="C178" i="170"/>
  <c r="D178" i="170"/>
  <c r="C179" i="170"/>
  <c r="D179" i="170"/>
  <c r="C180" i="170"/>
  <c r="D180" i="170"/>
  <c r="C181" i="170"/>
  <c r="D181" i="170"/>
  <c r="C182" i="170"/>
  <c r="D182" i="170"/>
  <c r="C183" i="170"/>
  <c r="D183" i="170"/>
  <c r="C184" i="170"/>
  <c r="D184" i="170"/>
  <c r="C185" i="170"/>
  <c r="D185" i="170"/>
  <c r="C186" i="170"/>
  <c r="D186" i="170"/>
  <c r="C187" i="170"/>
  <c r="D187" i="170"/>
  <c r="C188" i="170"/>
  <c r="D188" i="170"/>
  <c r="C189" i="170"/>
  <c r="D189" i="170"/>
  <c r="C190" i="170"/>
  <c r="D190" i="170"/>
  <c r="C191" i="170"/>
  <c r="D191" i="170"/>
  <c r="C192" i="170"/>
  <c r="D192" i="170"/>
  <c r="C193" i="170"/>
  <c r="D193" i="170"/>
  <c r="C194" i="170"/>
  <c r="D194" i="170"/>
  <c r="C195" i="170"/>
  <c r="D195" i="170"/>
  <c r="C196" i="170"/>
  <c r="D196" i="170"/>
  <c r="C197" i="170"/>
  <c r="D197" i="170"/>
  <c r="C198" i="170"/>
  <c r="D198" i="170"/>
  <c r="C199" i="170"/>
  <c r="D199" i="170"/>
  <c r="C200" i="170"/>
  <c r="D200" i="170"/>
  <c r="D1" i="170"/>
  <c r="C1" i="170"/>
  <c r="E2" i="170"/>
  <c r="F2" i="170"/>
  <c r="G2" i="170"/>
  <c r="E3" i="170"/>
  <c r="F3" i="170"/>
  <c r="G3" i="170"/>
  <c r="E4" i="170"/>
  <c r="F4" i="170"/>
  <c r="G4" i="170"/>
  <c r="E5" i="170"/>
  <c r="F5" i="170"/>
  <c r="G5" i="170"/>
  <c r="E6" i="170"/>
  <c r="F6" i="170"/>
  <c r="G6" i="170"/>
  <c r="E7" i="170"/>
  <c r="F7" i="170"/>
  <c r="G7" i="170"/>
  <c r="E8" i="170"/>
  <c r="F8" i="170"/>
  <c r="G8" i="170"/>
  <c r="E9" i="170"/>
  <c r="F9" i="170"/>
  <c r="G9" i="170"/>
  <c r="E10" i="170"/>
  <c r="F10" i="170"/>
  <c r="G10" i="170"/>
  <c r="E11" i="170"/>
  <c r="F11" i="170"/>
  <c r="G11" i="170"/>
  <c r="E12" i="170"/>
  <c r="F12" i="170"/>
  <c r="G12" i="170"/>
  <c r="E13" i="170"/>
  <c r="F13" i="170"/>
  <c r="G13" i="170"/>
  <c r="E14" i="170"/>
  <c r="F14" i="170"/>
  <c r="G14" i="170"/>
  <c r="E15" i="170"/>
  <c r="F15" i="170"/>
  <c r="G15" i="170"/>
  <c r="E16" i="170"/>
  <c r="F16" i="170"/>
  <c r="G16" i="170"/>
  <c r="E17" i="170"/>
  <c r="F17" i="170"/>
  <c r="G17" i="170"/>
  <c r="E18" i="170"/>
  <c r="F18" i="170"/>
  <c r="G18" i="170"/>
  <c r="E19" i="170"/>
  <c r="F19" i="170"/>
  <c r="G19" i="170"/>
  <c r="E20" i="170"/>
  <c r="F20" i="170"/>
  <c r="G20" i="170"/>
  <c r="E21" i="170"/>
  <c r="F21" i="170"/>
  <c r="G21" i="170"/>
  <c r="E22" i="170"/>
  <c r="F22" i="170"/>
  <c r="G22" i="170"/>
  <c r="E23" i="170"/>
  <c r="F23" i="170"/>
  <c r="G23" i="170"/>
  <c r="E24" i="170"/>
  <c r="F24" i="170"/>
  <c r="G24" i="170"/>
  <c r="E25" i="170"/>
  <c r="F25" i="170"/>
  <c r="G25" i="170"/>
  <c r="E26" i="170"/>
  <c r="F26" i="170"/>
  <c r="G26" i="170"/>
  <c r="E27" i="170"/>
  <c r="F27" i="170"/>
  <c r="G27" i="170"/>
  <c r="E28" i="170"/>
  <c r="F28" i="170"/>
  <c r="G28" i="170"/>
  <c r="E29" i="170"/>
  <c r="F29" i="170"/>
  <c r="G29" i="170"/>
  <c r="E30" i="170"/>
  <c r="F30" i="170"/>
  <c r="G30" i="170"/>
  <c r="E31" i="170"/>
  <c r="F31" i="170"/>
  <c r="G31" i="170"/>
  <c r="E32" i="170"/>
  <c r="F32" i="170"/>
  <c r="G32" i="170"/>
  <c r="E33" i="170"/>
  <c r="F33" i="170"/>
  <c r="G33" i="170"/>
  <c r="E34" i="170"/>
  <c r="F34" i="170"/>
  <c r="G34" i="170"/>
  <c r="E35" i="170"/>
  <c r="F35" i="170"/>
  <c r="G35" i="170"/>
  <c r="E36" i="170"/>
  <c r="F36" i="170"/>
  <c r="G36" i="170"/>
  <c r="E37" i="170"/>
  <c r="F37" i="170"/>
  <c r="G37" i="170"/>
  <c r="E38" i="170"/>
  <c r="F38" i="170"/>
  <c r="G38" i="170"/>
  <c r="E39" i="170"/>
  <c r="F39" i="170"/>
  <c r="G39" i="170"/>
  <c r="E40" i="170"/>
  <c r="F40" i="170"/>
  <c r="G40" i="170"/>
  <c r="E41" i="170"/>
  <c r="F41" i="170"/>
  <c r="G41" i="170"/>
  <c r="E42" i="170"/>
  <c r="F42" i="170"/>
  <c r="G42" i="170"/>
  <c r="E43" i="170"/>
  <c r="F43" i="170"/>
  <c r="G43" i="170"/>
  <c r="E44" i="170"/>
  <c r="F44" i="170"/>
  <c r="G44" i="170"/>
  <c r="E45" i="170"/>
  <c r="F45" i="170"/>
  <c r="G45" i="170"/>
  <c r="E46" i="170"/>
  <c r="F46" i="170"/>
  <c r="G46" i="170"/>
  <c r="E47" i="170"/>
  <c r="F47" i="170"/>
  <c r="G47" i="170"/>
  <c r="E48" i="170"/>
  <c r="F48" i="170"/>
  <c r="G48" i="170"/>
  <c r="E49" i="170"/>
  <c r="F49" i="170"/>
  <c r="G49" i="170"/>
  <c r="E50" i="170"/>
  <c r="F50" i="170"/>
  <c r="G50" i="170"/>
  <c r="E51" i="170"/>
  <c r="F51" i="170"/>
  <c r="G51" i="170"/>
  <c r="E52" i="170"/>
  <c r="F52" i="170"/>
  <c r="G52" i="170"/>
  <c r="E53" i="170"/>
  <c r="F53" i="170"/>
  <c r="G53" i="170"/>
  <c r="E54" i="170"/>
  <c r="F54" i="170"/>
  <c r="G54" i="170"/>
  <c r="E55" i="170"/>
  <c r="F55" i="170"/>
  <c r="G55" i="170"/>
  <c r="E56" i="170"/>
  <c r="F56" i="170"/>
  <c r="G56" i="170"/>
  <c r="E57" i="170"/>
  <c r="F57" i="170"/>
  <c r="G57" i="170"/>
  <c r="E58" i="170"/>
  <c r="F58" i="170"/>
  <c r="G58" i="170"/>
  <c r="E59" i="170"/>
  <c r="F59" i="170"/>
  <c r="G59" i="170"/>
  <c r="E60" i="170"/>
  <c r="F60" i="170"/>
  <c r="G60" i="170"/>
  <c r="E61" i="170"/>
  <c r="F61" i="170"/>
  <c r="G61" i="170"/>
  <c r="E62" i="170"/>
  <c r="F62" i="170"/>
  <c r="G62" i="170"/>
  <c r="E63" i="170"/>
  <c r="F63" i="170"/>
  <c r="G63" i="170"/>
  <c r="E64" i="170"/>
  <c r="F64" i="170"/>
  <c r="G64" i="170"/>
  <c r="E65" i="170"/>
  <c r="F65" i="170"/>
  <c r="G65" i="170"/>
  <c r="E66" i="170"/>
  <c r="F66" i="170"/>
  <c r="G66" i="170"/>
  <c r="E67" i="170"/>
  <c r="F67" i="170"/>
  <c r="G67" i="170"/>
  <c r="E68" i="170"/>
  <c r="F68" i="170"/>
  <c r="G68" i="170"/>
  <c r="E69" i="170"/>
  <c r="F69" i="170"/>
  <c r="G69" i="170"/>
  <c r="E70" i="170"/>
  <c r="F70" i="170"/>
  <c r="G70" i="170"/>
  <c r="E71" i="170"/>
  <c r="F71" i="170"/>
  <c r="G71" i="170"/>
  <c r="E72" i="170"/>
  <c r="F72" i="170"/>
  <c r="G72" i="170"/>
  <c r="E73" i="170"/>
  <c r="F73" i="170"/>
  <c r="G73" i="170"/>
  <c r="E74" i="170"/>
  <c r="F74" i="170"/>
  <c r="G74" i="170"/>
  <c r="E75" i="170"/>
  <c r="F75" i="170"/>
  <c r="G75" i="170"/>
  <c r="E76" i="170"/>
  <c r="F76" i="170"/>
  <c r="G76" i="170"/>
  <c r="E77" i="170"/>
  <c r="F77" i="170"/>
  <c r="G77" i="170"/>
  <c r="E78" i="170"/>
  <c r="F78" i="170"/>
  <c r="G78" i="170"/>
  <c r="E79" i="170"/>
  <c r="F79" i="170"/>
  <c r="G79" i="170"/>
  <c r="E80" i="170"/>
  <c r="F80" i="170"/>
  <c r="G80" i="170"/>
  <c r="E81" i="170"/>
  <c r="F81" i="170"/>
  <c r="G81" i="170"/>
  <c r="E82" i="170"/>
  <c r="F82" i="170"/>
  <c r="G82" i="170"/>
  <c r="E83" i="170"/>
  <c r="F83" i="170"/>
  <c r="G83" i="170"/>
  <c r="E84" i="170"/>
  <c r="F84" i="170"/>
  <c r="G84" i="170"/>
  <c r="E85" i="170"/>
  <c r="F85" i="170"/>
  <c r="G85" i="170"/>
  <c r="E86" i="170"/>
  <c r="F86" i="170"/>
  <c r="G86" i="170"/>
  <c r="E87" i="170"/>
  <c r="F87" i="170"/>
  <c r="G87" i="170"/>
  <c r="E88" i="170"/>
  <c r="F88" i="170"/>
  <c r="G88" i="170"/>
  <c r="E89" i="170"/>
  <c r="F89" i="170"/>
  <c r="G89" i="170"/>
  <c r="E90" i="170"/>
  <c r="F90" i="170"/>
  <c r="G90" i="170"/>
  <c r="E91" i="170"/>
  <c r="F91" i="170"/>
  <c r="G91" i="170"/>
  <c r="E92" i="170"/>
  <c r="F92" i="170"/>
  <c r="G92" i="170"/>
  <c r="E93" i="170"/>
  <c r="F93" i="170"/>
  <c r="G93" i="170"/>
  <c r="E94" i="170"/>
  <c r="F94" i="170"/>
  <c r="G94" i="170"/>
  <c r="E95" i="170"/>
  <c r="F95" i="170"/>
  <c r="G95" i="170"/>
  <c r="E96" i="170"/>
  <c r="F96" i="170"/>
  <c r="G96" i="170"/>
  <c r="E97" i="170"/>
  <c r="F97" i="170"/>
  <c r="G97" i="170"/>
  <c r="E98" i="170"/>
  <c r="F98" i="170"/>
  <c r="G98" i="170"/>
  <c r="E99" i="170"/>
  <c r="F99" i="170"/>
  <c r="G99" i="170"/>
  <c r="E100" i="170"/>
  <c r="F100" i="170"/>
  <c r="G100" i="170"/>
  <c r="E101" i="170"/>
  <c r="F101" i="170"/>
  <c r="G101" i="170"/>
  <c r="E102" i="170"/>
  <c r="F102" i="170"/>
  <c r="G102" i="170"/>
  <c r="E103" i="170"/>
  <c r="F103" i="170"/>
  <c r="G103" i="170"/>
  <c r="E104" i="170"/>
  <c r="F104" i="170"/>
  <c r="G104" i="170"/>
  <c r="E105" i="170"/>
  <c r="F105" i="170"/>
  <c r="G105" i="170"/>
  <c r="E106" i="170"/>
  <c r="F106" i="170"/>
  <c r="G106" i="170"/>
  <c r="E107" i="170"/>
  <c r="F107" i="170"/>
  <c r="G107" i="170"/>
  <c r="E108" i="170"/>
  <c r="F108" i="170"/>
  <c r="G108" i="170"/>
  <c r="E109" i="170"/>
  <c r="F109" i="170"/>
  <c r="G109" i="170"/>
  <c r="E110" i="170"/>
  <c r="F110" i="170"/>
  <c r="G110" i="170"/>
  <c r="E111" i="170"/>
  <c r="F111" i="170"/>
  <c r="G111" i="170"/>
  <c r="E112" i="170"/>
  <c r="F112" i="170"/>
  <c r="G112" i="170"/>
  <c r="E113" i="170"/>
  <c r="F113" i="170"/>
  <c r="G113" i="170"/>
  <c r="E114" i="170"/>
  <c r="F114" i="170"/>
  <c r="G114" i="170"/>
  <c r="E115" i="170"/>
  <c r="F115" i="170"/>
  <c r="G115" i="170"/>
  <c r="E116" i="170"/>
  <c r="F116" i="170"/>
  <c r="G116" i="170"/>
  <c r="E117" i="170"/>
  <c r="F117" i="170"/>
  <c r="G117" i="170"/>
  <c r="E118" i="170"/>
  <c r="F118" i="170"/>
  <c r="G118" i="170"/>
  <c r="E119" i="170"/>
  <c r="F119" i="170"/>
  <c r="G119" i="170"/>
  <c r="E120" i="170"/>
  <c r="F120" i="170"/>
  <c r="G120" i="170"/>
  <c r="E121" i="170"/>
  <c r="F121" i="170"/>
  <c r="G121" i="170"/>
  <c r="E122" i="170"/>
  <c r="F122" i="170"/>
  <c r="G122" i="170"/>
  <c r="E123" i="170"/>
  <c r="F123" i="170"/>
  <c r="G123" i="170"/>
  <c r="E124" i="170"/>
  <c r="F124" i="170"/>
  <c r="G124" i="170"/>
  <c r="E125" i="170"/>
  <c r="F125" i="170"/>
  <c r="G125" i="170"/>
  <c r="E126" i="170"/>
  <c r="F126" i="170"/>
  <c r="G126" i="170"/>
  <c r="E127" i="170"/>
  <c r="F127" i="170"/>
  <c r="G127" i="170"/>
  <c r="E128" i="170"/>
  <c r="F128" i="170"/>
  <c r="G128" i="170"/>
  <c r="E129" i="170"/>
  <c r="F129" i="170"/>
  <c r="G129" i="170"/>
  <c r="E130" i="170"/>
  <c r="F130" i="170"/>
  <c r="G130" i="170"/>
  <c r="E131" i="170"/>
  <c r="F131" i="170"/>
  <c r="G131" i="170"/>
  <c r="E132" i="170"/>
  <c r="F132" i="170"/>
  <c r="G132" i="170"/>
  <c r="E133" i="170"/>
  <c r="F133" i="170"/>
  <c r="G133" i="170"/>
  <c r="E134" i="170"/>
  <c r="F134" i="170"/>
  <c r="G134" i="170"/>
  <c r="E135" i="170"/>
  <c r="F135" i="170"/>
  <c r="G135" i="170"/>
  <c r="E136" i="170"/>
  <c r="F136" i="170"/>
  <c r="G136" i="170"/>
  <c r="E137" i="170"/>
  <c r="F137" i="170"/>
  <c r="G137" i="170"/>
  <c r="E138" i="170"/>
  <c r="F138" i="170"/>
  <c r="G138" i="170"/>
  <c r="E139" i="170"/>
  <c r="F139" i="170"/>
  <c r="G139" i="170"/>
  <c r="E140" i="170"/>
  <c r="F140" i="170"/>
  <c r="G140" i="170"/>
  <c r="E141" i="170"/>
  <c r="F141" i="170"/>
  <c r="G141" i="170"/>
  <c r="E142" i="170"/>
  <c r="F142" i="170"/>
  <c r="G142" i="170"/>
  <c r="E143" i="170"/>
  <c r="F143" i="170"/>
  <c r="G143" i="170"/>
  <c r="E144" i="170"/>
  <c r="F144" i="170"/>
  <c r="G144" i="170"/>
  <c r="E145" i="170"/>
  <c r="F145" i="170"/>
  <c r="G145" i="170"/>
  <c r="E146" i="170"/>
  <c r="F146" i="170"/>
  <c r="G146" i="170"/>
  <c r="E147" i="170"/>
  <c r="F147" i="170"/>
  <c r="G147" i="170"/>
  <c r="E148" i="170"/>
  <c r="F148" i="170"/>
  <c r="G148" i="170"/>
  <c r="E149" i="170"/>
  <c r="F149" i="170"/>
  <c r="G149" i="170"/>
  <c r="E150" i="170"/>
  <c r="F150" i="170"/>
  <c r="G150" i="170"/>
  <c r="E151" i="170"/>
  <c r="F151" i="170"/>
  <c r="G151" i="170"/>
  <c r="E152" i="170"/>
  <c r="F152" i="170"/>
  <c r="G152" i="170"/>
  <c r="E153" i="170"/>
  <c r="F153" i="170"/>
  <c r="G153" i="170"/>
  <c r="E154" i="170"/>
  <c r="F154" i="170"/>
  <c r="G154" i="170"/>
  <c r="E155" i="170"/>
  <c r="F155" i="170"/>
  <c r="G155" i="170"/>
  <c r="E156" i="170"/>
  <c r="F156" i="170"/>
  <c r="G156" i="170"/>
  <c r="E157" i="170"/>
  <c r="F157" i="170"/>
  <c r="G157" i="170"/>
  <c r="E158" i="170"/>
  <c r="F158" i="170"/>
  <c r="G158" i="170"/>
  <c r="E159" i="170"/>
  <c r="F159" i="170"/>
  <c r="G159" i="170"/>
  <c r="E160" i="170"/>
  <c r="F160" i="170"/>
  <c r="G160" i="170"/>
  <c r="E161" i="170"/>
  <c r="F161" i="170"/>
  <c r="G161" i="170"/>
  <c r="E162" i="170"/>
  <c r="F162" i="170"/>
  <c r="G162" i="170"/>
  <c r="E163" i="170"/>
  <c r="F163" i="170"/>
  <c r="G163" i="170"/>
  <c r="E164" i="170"/>
  <c r="F164" i="170"/>
  <c r="G164" i="170"/>
  <c r="E165" i="170"/>
  <c r="F165" i="170"/>
  <c r="G165" i="170"/>
  <c r="E166" i="170"/>
  <c r="F166" i="170"/>
  <c r="G166" i="170"/>
  <c r="E167" i="170"/>
  <c r="F167" i="170"/>
  <c r="G167" i="170"/>
  <c r="E168" i="170"/>
  <c r="F168" i="170"/>
  <c r="G168" i="170"/>
  <c r="E169" i="170"/>
  <c r="F169" i="170"/>
  <c r="G169" i="170"/>
  <c r="E170" i="170"/>
  <c r="F170" i="170"/>
  <c r="G170" i="170"/>
  <c r="E171" i="170"/>
  <c r="F171" i="170"/>
  <c r="G171" i="170"/>
  <c r="E172" i="170"/>
  <c r="F172" i="170"/>
  <c r="G172" i="170"/>
  <c r="E173" i="170"/>
  <c r="F173" i="170"/>
  <c r="G173" i="170"/>
  <c r="E174" i="170"/>
  <c r="F174" i="170"/>
  <c r="G174" i="170"/>
  <c r="E175" i="170"/>
  <c r="F175" i="170"/>
  <c r="G175" i="170"/>
  <c r="E176" i="170"/>
  <c r="F176" i="170"/>
  <c r="G176" i="170"/>
  <c r="E177" i="170"/>
  <c r="F177" i="170"/>
  <c r="G177" i="170"/>
  <c r="E178" i="170"/>
  <c r="F178" i="170"/>
  <c r="G178" i="170"/>
  <c r="E179" i="170"/>
  <c r="F179" i="170"/>
  <c r="G179" i="170"/>
  <c r="E180" i="170"/>
  <c r="F180" i="170"/>
  <c r="G180" i="170"/>
  <c r="E181" i="170"/>
  <c r="F181" i="170"/>
  <c r="G181" i="170"/>
  <c r="E182" i="170"/>
  <c r="F182" i="170"/>
  <c r="G182" i="170"/>
  <c r="E183" i="170"/>
  <c r="F183" i="170"/>
  <c r="G183" i="170"/>
  <c r="E184" i="170"/>
  <c r="F184" i="170"/>
  <c r="G184" i="170"/>
  <c r="E185" i="170"/>
  <c r="F185" i="170"/>
  <c r="G185" i="170"/>
  <c r="E186" i="170"/>
  <c r="F186" i="170"/>
  <c r="G186" i="170"/>
  <c r="E187" i="170"/>
  <c r="F187" i="170"/>
  <c r="G187" i="170"/>
  <c r="E188" i="170"/>
  <c r="F188" i="170"/>
  <c r="G188" i="170"/>
  <c r="E189" i="170"/>
  <c r="F189" i="170"/>
  <c r="G189" i="170"/>
  <c r="E190" i="170"/>
  <c r="F190" i="170"/>
  <c r="G190" i="170"/>
  <c r="E191" i="170"/>
  <c r="F191" i="170"/>
  <c r="G191" i="170"/>
  <c r="E192" i="170"/>
  <c r="F192" i="170"/>
  <c r="G192" i="170"/>
  <c r="E193" i="170"/>
  <c r="F193" i="170"/>
  <c r="G193" i="170"/>
  <c r="E194" i="170"/>
  <c r="F194" i="170"/>
  <c r="G194" i="170"/>
  <c r="E195" i="170"/>
  <c r="F195" i="170"/>
  <c r="G195" i="170"/>
  <c r="E196" i="170"/>
  <c r="F196" i="170"/>
  <c r="G196" i="170"/>
  <c r="E197" i="170"/>
  <c r="F197" i="170"/>
  <c r="G197" i="170"/>
  <c r="E198" i="170"/>
  <c r="F198" i="170"/>
  <c r="G198" i="170"/>
  <c r="E199" i="170"/>
  <c r="F199" i="170"/>
  <c r="G199" i="170"/>
  <c r="E200" i="170"/>
  <c r="F200" i="170"/>
  <c r="G200" i="170"/>
  <c r="G1" i="170"/>
  <c r="F1" i="170"/>
  <c r="E1" i="170"/>
  <c r="B22" i="169"/>
  <c r="B22" i="168"/>
  <c r="B22" i="167"/>
  <c r="B21" i="166"/>
  <c r="B19" i="165"/>
  <c r="B19" i="164"/>
  <c r="B19" i="163"/>
  <c r="B19" i="162"/>
  <c r="B19" i="161"/>
  <c r="B22" i="160"/>
  <c r="B22" i="159"/>
  <c r="B22" i="158"/>
  <c r="B22" i="157"/>
  <c r="B22" i="156"/>
  <c r="B22" i="155"/>
  <c r="B22" i="154"/>
  <c r="B25" i="153"/>
  <c r="B26" i="152"/>
  <c r="B17" i="151"/>
  <c r="B17" i="150"/>
  <c r="B17" i="149"/>
  <c r="B17" i="148"/>
  <c r="B17" i="147"/>
  <c r="B17" i="146"/>
  <c r="B17" i="145"/>
  <c r="B17" i="144"/>
  <c r="B17" i="143"/>
  <c r="B17" i="142"/>
  <c r="B17" i="141"/>
  <c r="B17" i="140"/>
  <c r="B17" i="139"/>
  <c r="B17" i="138"/>
  <c r="B17" i="137"/>
  <c r="B17" i="136"/>
  <c r="B17" i="135"/>
  <c r="B17" i="134"/>
  <c r="B17" i="133"/>
  <c r="B17" i="132"/>
  <c r="B17" i="131"/>
  <c r="B17" i="130"/>
  <c r="B17" i="129"/>
  <c r="B17" i="128"/>
  <c r="B17" i="127"/>
  <c r="B17" i="126"/>
  <c r="B17" i="125"/>
  <c r="B17" i="124"/>
  <c r="B19" i="123"/>
  <c r="B15" i="122"/>
  <c r="B18" i="121"/>
  <c r="B18" i="120"/>
  <c r="B18" i="119"/>
  <c r="B18" i="118"/>
  <c r="B18" i="117"/>
  <c r="B18" i="116"/>
  <c r="B18" i="115"/>
  <c r="B18" i="114"/>
  <c r="B18" i="113"/>
  <c r="B22" i="112"/>
  <c r="B22" i="111"/>
  <c r="B23" i="110"/>
  <c r="B23" i="109"/>
  <c r="B17" i="108"/>
  <c r="B16" i="107"/>
  <c r="B16" i="106"/>
  <c r="B17" i="105"/>
  <c r="B17" i="104"/>
  <c r="B17" i="103"/>
  <c r="B17" i="102"/>
  <c r="B17" i="101"/>
  <c r="B17" i="100"/>
  <c r="B17" i="99"/>
  <c r="B18" i="98"/>
  <c r="B18" i="97"/>
  <c r="B18" i="96"/>
  <c r="B18" i="95"/>
  <c r="B18" i="94"/>
  <c r="B18" i="93"/>
  <c r="B18" i="92"/>
  <c r="B18" i="91"/>
  <c r="B18" i="90"/>
  <c r="B18" i="89"/>
  <c r="B18" i="88"/>
  <c r="B18" i="87"/>
  <c r="B18" i="86"/>
  <c r="B18" i="85"/>
  <c r="B19" i="84"/>
  <c r="B22" i="83"/>
  <c r="B22" i="82"/>
  <c r="B22" i="81"/>
  <c r="B22" i="80"/>
  <c r="B22" i="79"/>
  <c r="B22" i="78"/>
  <c r="B22" i="77"/>
  <c r="B22" i="76"/>
  <c r="B22" i="75"/>
  <c r="B22" i="74"/>
  <c r="B22" i="73"/>
  <c r="B22" i="72"/>
  <c r="B22" i="71"/>
  <c r="B22" i="70"/>
  <c r="B22" i="69"/>
  <c r="B22" i="68"/>
  <c r="B25" i="67"/>
  <c r="B25" i="66"/>
  <c r="B23" i="65"/>
  <c r="B16" i="64"/>
  <c r="B16" i="63"/>
  <c r="B16" i="62"/>
  <c r="B16" i="61"/>
  <c r="B16" i="60"/>
  <c r="B16" i="59"/>
  <c r="B16" i="58"/>
  <c r="B16" i="57"/>
  <c r="B16" i="56"/>
  <c r="B16" i="55"/>
  <c r="B16" i="54"/>
  <c r="B16" i="53"/>
  <c r="B16" i="52"/>
  <c r="B16" i="51"/>
  <c r="B16" i="50"/>
  <c r="B16" i="49"/>
  <c r="B16" i="48"/>
  <c r="B16" i="47"/>
  <c r="B16" i="46"/>
  <c r="B16" i="45"/>
  <c r="B16" i="44"/>
  <c r="B16" i="43"/>
  <c r="B16" i="42"/>
  <c r="B22" i="41"/>
  <c r="B22" i="40"/>
  <c r="B22" i="39"/>
  <c r="B22" i="38"/>
  <c r="B22" i="37"/>
  <c r="B22" i="36"/>
  <c r="B22" i="35"/>
  <c r="B22" i="34"/>
  <c r="B22" i="33"/>
  <c r="B22" i="32"/>
  <c r="B22" i="31"/>
  <c r="B22" i="30"/>
  <c r="B22" i="29"/>
  <c r="B22" i="28"/>
  <c r="B22" i="27"/>
  <c r="B22" i="26"/>
  <c r="B22" i="25"/>
  <c r="B22" i="24"/>
  <c r="B20" i="23"/>
  <c r="B27" i="22"/>
  <c r="B27" i="21"/>
  <c r="B22" i="20"/>
  <c r="B22" i="19"/>
  <c r="B22" i="18"/>
  <c r="B22" i="17"/>
  <c r="B28" i="16"/>
  <c r="B17" i="15"/>
  <c r="B22" i="14"/>
  <c r="B17" i="13"/>
  <c r="B22" i="12"/>
  <c r="B19" i="11"/>
  <c r="B19" i="10"/>
  <c r="B19" i="9"/>
  <c r="B19" i="8"/>
  <c r="B25" i="7"/>
  <c r="B25" i="6"/>
  <c r="B18" i="5"/>
  <c r="B20" i="4"/>
  <c r="E174" i="2"/>
  <c r="D174" i="2"/>
  <c r="E173" i="2"/>
  <c r="D173" i="2"/>
  <c r="E172" i="2"/>
  <c r="D172" i="2"/>
  <c r="E171" i="2"/>
  <c r="D171" i="2"/>
  <c r="E170" i="2"/>
  <c r="D170" i="2"/>
  <c r="E169" i="2"/>
  <c r="D169" i="2"/>
  <c r="E168" i="2"/>
  <c r="D168" i="2"/>
  <c r="E167" i="2"/>
  <c r="D167" i="2"/>
  <c r="D166" i="2"/>
  <c r="E165" i="2"/>
  <c r="D165" i="2"/>
  <c r="E164" i="2"/>
  <c r="D164" i="2"/>
  <c r="E163" i="2"/>
  <c r="D163" i="2"/>
  <c r="E162" i="2"/>
  <c r="D162" i="2"/>
  <c r="E161" i="2"/>
  <c r="D161" i="2"/>
  <c r="E160" i="2"/>
  <c r="D160" i="2"/>
  <c r="D159" i="2"/>
  <c r="E158" i="2"/>
  <c r="D158" i="2"/>
  <c r="E157" i="2"/>
  <c r="D157" i="2"/>
  <c r="E156" i="2"/>
  <c r="D156" i="2"/>
  <c r="E155" i="2"/>
  <c r="D155" i="2"/>
  <c r="E154" i="2"/>
  <c r="D154" i="2"/>
  <c r="E153" i="2"/>
  <c r="D153" i="2"/>
  <c r="E152" i="2"/>
  <c r="D152" i="2"/>
  <c r="E151" i="2"/>
  <c r="D151" i="2"/>
  <c r="E150" i="2"/>
  <c r="D150" i="2"/>
  <c r="E149" i="2"/>
  <c r="D149" i="2"/>
  <c r="E148" i="2"/>
  <c r="D148" i="2"/>
  <c r="E147" i="2"/>
  <c r="D147" i="2"/>
  <c r="E146" i="2"/>
  <c r="D146" i="2"/>
  <c r="E145" i="2"/>
  <c r="D145" i="2"/>
  <c r="E144" i="2"/>
  <c r="D144" i="2"/>
  <c r="D143" i="2"/>
  <c r="E142" i="2"/>
  <c r="D142" i="2"/>
  <c r="E141" i="2"/>
  <c r="D141" i="2"/>
  <c r="E140" i="2"/>
  <c r="D140" i="2"/>
  <c r="E139" i="2"/>
  <c r="D139" i="2"/>
  <c r="E138" i="2"/>
  <c r="D138" i="2"/>
  <c r="E137" i="2"/>
  <c r="D137" i="2"/>
  <c r="E136" i="2"/>
  <c r="D136" i="2"/>
  <c r="E135" i="2"/>
  <c r="D135" i="2"/>
  <c r="E134" i="2"/>
  <c r="D134" i="2"/>
  <c r="E133" i="2"/>
  <c r="D133" i="2"/>
  <c r="E132" i="2"/>
  <c r="D132" i="2"/>
  <c r="E131" i="2"/>
  <c r="D131" i="2"/>
  <c r="E130" i="2"/>
  <c r="D130" i="2"/>
  <c r="D129" i="2"/>
  <c r="E128" i="2"/>
  <c r="D128" i="2"/>
  <c r="E127" i="2"/>
  <c r="D127" i="2"/>
  <c r="E126" i="2"/>
  <c r="D126" i="2"/>
  <c r="E125" i="2"/>
  <c r="D125" i="2"/>
  <c r="E124" i="2"/>
  <c r="D124" i="2"/>
  <c r="E123" i="2"/>
  <c r="D123" i="2"/>
  <c r="E122" i="2"/>
  <c r="D122" i="2"/>
  <c r="E121" i="2"/>
  <c r="D121" i="2"/>
  <c r="E120" i="2"/>
  <c r="D120" i="2"/>
  <c r="E119" i="2"/>
  <c r="D119" i="2"/>
  <c r="D118" i="2"/>
  <c r="E117" i="2"/>
  <c r="D117" i="2"/>
  <c r="E116" i="2"/>
  <c r="D116" i="2"/>
  <c r="E115" i="2"/>
  <c r="D115" i="2"/>
  <c r="E114" i="2"/>
  <c r="D114" i="2"/>
  <c r="E113" i="2"/>
  <c r="D113" i="2"/>
  <c r="E112" i="2"/>
  <c r="D112" i="2"/>
  <c r="E111" i="2"/>
  <c r="D111" i="2"/>
  <c r="E110" i="2"/>
  <c r="D110" i="2"/>
  <c r="E109" i="2"/>
  <c r="D109" i="2"/>
  <c r="E108" i="2"/>
  <c r="D108" i="2"/>
  <c r="E107" i="2"/>
  <c r="D107" i="2"/>
  <c r="E106" i="2"/>
  <c r="D106" i="2"/>
  <c r="E105" i="2"/>
  <c r="D105" i="2"/>
  <c r="D104" i="2"/>
  <c r="E103" i="2"/>
  <c r="D103" i="2"/>
  <c r="E102" i="2"/>
  <c r="D102" i="2"/>
  <c r="E101" i="2"/>
  <c r="D101" i="2"/>
  <c r="D100" i="2"/>
  <c r="E99" i="2"/>
  <c r="D99" i="2"/>
  <c r="E98" i="2"/>
  <c r="D98" i="2"/>
  <c r="E97" i="2"/>
  <c r="D97" i="2"/>
  <c r="E96" i="2"/>
  <c r="D96" i="2"/>
  <c r="E95" i="2"/>
  <c r="D95" i="2"/>
  <c r="E94" i="2"/>
  <c r="D94" i="2"/>
  <c r="E93" i="2"/>
  <c r="D93" i="2"/>
  <c r="E92" i="2"/>
  <c r="D92" i="2"/>
  <c r="E91" i="2"/>
  <c r="D91" i="2"/>
  <c r="D90" i="2"/>
  <c r="E89" i="2"/>
  <c r="D89" i="2"/>
  <c r="E88" i="2"/>
  <c r="D88" i="2"/>
  <c r="E87" i="2"/>
  <c r="D87" i="2"/>
  <c r="E86" i="2"/>
  <c r="D86" i="2"/>
  <c r="E85" i="2"/>
  <c r="D85" i="2"/>
  <c r="E84" i="2"/>
  <c r="D84" i="2"/>
  <c r="D83" i="2"/>
  <c r="E82" i="2"/>
  <c r="D82" i="2"/>
  <c r="E81" i="2"/>
  <c r="D81" i="2"/>
  <c r="E80" i="2"/>
  <c r="D80" i="2"/>
  <c r="E79" i="2"/>
  <c r="D79" i="2"/>
  <c r="E78" i="2"/>
  <c r="D78" i="2"/>
  <c r="E77" i="2"/>
  <c r="D77" i="2"/>
  <c r="E76" i="2"/>
  <c r="D76" i="2"/>
  <c r="E75" i="2"/>
  <c r="D75" i="2"/>
  <c r="E74" i="2"/>
  <c r="D74" i="2"/>
  <c r="D73" i="2"/>
  <c r="E72" i="2"/>
  <c r="D72" i="2"/>
  <c r="E71" i="2"/>
  <c r="D71" i="2"/>
  <c r="E70" i="2"/>
  <c r="D70" i="2"/>
  <c r="E69" i="2"/>
  <c r="D69" i="2"/>
  <c r="E68" i="2"/>
  <c r="D68" i="2"/>
  <c r="E67" i="2"/>
  <c r="D67" i="2"/>
  <c r="E66" i="2"/>
  <c r="D66" i="2"/>
  <c r="E65" i="2"/>
  <c r="D65" i="2"/>
  <c r="E64" i="2"/>
  <c r="D64" i="2"/>
  <c r="E63" i="2"/>
  <c r="D63" i="2"/>
  <c r="E62" i="2"/>
  <c r="D62" i="2"/>
  <c r="E61" i="2"/>
  <c r="D61" i="2"/>
  <c r="E60" i="2"/>
  <c r="D60" i="2"/>
  <c r="E59" i="2"/>
  <c r="D59" i="2"/>
  <c r="E58" i="2"/>
  <c r="D58" i="2"/>
  <c r="E57" i="2"/>
  <c r="D57" i="2"/>
  <c r="E56" i="2"/>
  <c r="D56" i="2"/>
  <c r="E55" i="2"/>
  <c r="D55" i="2"/>
  <c r="E54" i="2"/>
  <c r="D54" i="2"/>
  <c r="E53" i="2"/>
  <c r="D53" i="2"/>
  <c r="E52" i="2"/>
  <c r="D52" i="2"/>
  <c r="E51" i="2"/>
  <c r="D51" i="2"/>
  <c r="E50" i="2"/>
  <c r="D50" i="2"/>
  <c r="E49" i="2"/>
  <c r="D49" i="2"/>
  <c r="E48" i="2"/>
  <c r="D48" i="2"/>
  <c r="D47" i="2"/>
  <c r="E46" i="2"/>
  <c r="D46" i="2"/>
  <c r="E45" i="2"/>
  <c r="D45" i="2"/>
  <c r="E44" i="2"/>
  <c r="D44" i="2"/>
  <c r="E43" i="2"/>
  <c r="D43" i="2"/>
  <c r="E42" i="2"/>
  <c r="D42" i="2"/>
  <c r="E41" i="2"/>
  <c r="D41" i="2"/>
  <c r="E40" i="2"/>
  <c r="D40" i="2"/>
  <c r="E39" i="2"/>
  <c r="D39" i="2"/>
  <c r="E38" i="2"/>
  <c r="D38" i="2"/>
  <c r="E37" i="2"/>
  <c r="D37" i="2"/>
  <c r="E36" i="2"/>
  <c r="D36" i="2"/>
  <c r="E35" i="2"/>
  <c r="D35" i="2"/>
  <c r="E34" i="2"/>
  <c r="D34" i="2"/>
  <c r="E33" i="2"/>
  <c r="D33" i="2"/>
  <c r="E32" i="2"/>
  <c r="D32" i="2"/>
  <c r="E31" i="2"/>
  <c r="D31" i="2"/>
  <c r="E30" i="2"/>
  <c r="D30" i="2"/>
  <c r="D29" i="2"/>
  <c r="E28" i="2"/>
  <c r="D28" i="2"/>
  <c r="E27" i="2"/>
  <c r="D27" i="2"/>
  <c r="E26" i="2"/>
  <c r="D26" i="2"/>
  <c r="E25" i="2"/>
  <c r="D25" i="2"/>
  <c r="E24" i="2"/>
  <c r="D24" i="2"/>
  <c r="E23" i="2"/>
  <c r="D23" i="2"/>
  <c r="D22" i="2"/>
  <c r="E21" i="2"/>
  <c r="D21" i="2"/>
  <c r="E20" i="2"/>
  <c r="D20" i="2"/>
  <c r="E19" i="2"/>
  <c r="D19" i="2"/>
  <c r="E18" i="2"/>
  <c r="D18" i="2"/>
  <c r="E17" i="2"/>
  <c r="D17" i="2"/>
  <c r="E16" i="2"/>
  <c r="D16" i="2"/>
  <c r="E15" i="2"/>
  <c r="D15" i="2"/>
  <c r="E14" i="2"/>
  <c r="D14" i="2"/>
  <c r="D13" i="2"/>
  <c r="E12" i="2"/>
  <c r="D12" i="2"/>
  <c r="E11" i="2"/>
  <c r="D11" i="2"/>
  <c r="E10" i="2"/>
  <c r="D10" i="2"/>
  <c r="E9" i="2"/>
  <c r="D9" i="2"/>
  <c r="D6" i="2"/>
  <c r="F20" i="1"/>
</calcChain>
</file>

<file path=xl/sharedStrings.xml><?xml version="1.0" encoding="utf-8"?>
<sst xmlns="http://schemas.openxmlformats.org/spreadsheetml/2006/main" count="7645" uniqueCount="540">
  <si>
    <t>Public First Poll for AWS Europe (Consumer)</t>
  </si>
  <si>
    <t>Fieldwork:</t>
  </si>
  <si>
    <t>23rd Apr - 30th Apr 2022</t>
  </si>
  <si>
    <t xml:space="preserve">Interview Method: </t>
  </si>
  <si>
    <t>Online Survey</t>
  </si>
  <si>
    <t>Population represented:</t>
  </si>
  <si>
    <t>Adults in selected EU member states</t>
  </si>
  <si>
    <t>Sample size:</t>
  </si>
  <si>
    <t>Methodology:</t>
  </si>
  <si>
    <t>All results are weighted using Iterative Proportional Fitting, or 'Raking'. The results are  weighted by interlocking age &amp; gender, region, and education level to Nationally Representative Proportions in selected EU member states</t>
  </si>
  <si>
    <t>Public First is a member of the BPC and abides by its rules. For more information please contact the Public First polling team:</t>
  </si>
  <si>
    <t>Table of Contents</t>
  </si>
  <si>
    <t>Individual Tables</t>
  </si>
  <si>
    <t>Full Result Row</t>
  </si>
  <si>
    <t>Question Base</t>
  </si>
  <si>
    <t/>
  </si>
  <si>
    <t>Total</t>
  </si>
  <si>
    <t>Male</t>
  </si>
  <si>
    <t>Female</t>
  </si>
  <si>
    <t>Unweighted</t>
  </si>
  <si>
    <t>Weighted</t>
  </si>
  <si>
    <t>18-24</t>
  </si>
  <si>
    <t>25-34</t>
  </si>
  <si>
    <t>35-44</t>
  </si>
  <si>
    <t>45-54</t>
  </si>
  <si>
    <t>55-64</t>
  </si>
  <si>
    <t>65+</t>
  </si>
  <si>
    <t>Denmark</t>
  </si>
  <si>
    <t>Finland</t>
  </si>
  <si>
    <t>France</t>
  </si>
  <si>
    <t>Germany</t>
  </si>
  <si>
    <t>Italy</t>
  </si>
  <si>
    <t>Netherlands</t>
  </si>
  <si>
    <t>Poland</t>
  </si>
  <si>
    <t>Spain</t>
  </si>
  <si>
    <t>Sweden</t>
  </si>
  <si>
    <t>Graduate</t>
  </si>
  <si>
    <t>Non-Graduate</t>
  </si>
  <si>
    <t>Gender</t>
  </si>
  <si>
    <t>Age</t>
  </si>
  <si>
    <t>Country</t>
  </si>
  <si>
    <t>Education</t>
  </si>
  <si>
    <t>Faster or more reliable Internet</t>
  </si>
  <si>
    <t>Building new roads</t>
  </si>
  <si>
    <t>Adding extra bus routes</t>
  </si>
  <si>
    <t>Building new railways</t>
  </si>
  <si>
    <t>Faster or more reliable mobile phone signal</t>
  </si>
  <si>
    <t>Building new airports or runways</t>
  </si>
  <si>
    <t>None of the above</t>
  </si>
  <si>
    <t>If you had to choose, which of the following types of infrastructure investment would prefer your Government to prioritise in your local area?Please select up to three</t>
  </si>
  <si>
    <t>BASE: All Respondents</t>
  </si>
  <si>
    <t>Fieldwork:  23rd Apr - 30th Apr 2022</t>
  </si>
  <si>
    <t>Data weighted by interlocking age &amp; gender, region, and education level to Nationally Representative Proportions in selected EU member states</t>
  </si>
  <si>
    <t>Better monitoring of the spread of new diseases</t>
  </si>
  <si>
    <t>Creating smarter, more resilient energy grids</t>
  </si>
  <si>
    <t>Protecting endangered animals</t>
  </si>
  <si>
    <t>New types of computing hardware (e.g. quantum computing)</t>
  </si>
  <si>
    <t>Which, if any, of the following areas would you support your government spending more on research on?Please select all that apply.</t>
  </si>
  <si>
    <t>Health</t>
  </si>
  <si>
    <t>Digital technology</t>
  </si>
  <si>
    <t>Agriculture, forestry &amp; fishing</t>
  </si>
  <si>
    <t>Manufacturing</t>
  </si>
  <si>
    <t>Construction</t>
  </si>
  <si>
    <t>Telecommunications</t>
  </si>
  <si>
    <t>Financial services</t>
  </si>
  <si>
    <t>Retail</t>
  </si>
  <si>
    <t>Automotive</t>
  </si>
  <si>
    <t>Media &amp; Entertainment</t>
  </si>
  <si>
    <t>Other (please specify)</t>
  </si>
  <si>
    <t>Don't Know</t>
  </si>
  <si>
    <t>Which, if any, of the following sectors do you think is most likely to be important to your country’s economy in the next decade?Please select up to three</t>
  </si>
  <si>
    <t>And which would you say have done the best job of innovating in the last decade?Please select up to three</t>
  </si>
  <si>
    <t xml:space="preserve"> Financial services</t>
  </si>
  <si>
    <t xml:space="preserve"> Automotive </t>
  </si>
  <si>
    <t xml:space="preserve"> Digital technology</t>
  </si>
  <si>
    <t>Very well</t>
  </si>
  <si>
    <t>Somewhat well</t>
  </si>
  <si>
    <t>Neither well or badly</t>
  </si>
  <si>
    <t>Somewhat badly</t>
  </si>
  <si>
    <t>Very badly</t>
  </si>
  <si>
    <t>Don't know</t>
  </si>
  <si>
    <t>Grid Summary: Overall, how well do you think your country does in the following sectors?</t>
  </si>
  <si>
    <t>Overall, how well do you think your country does in the following sectors?: Financial services</t>
  </si>
  <si>
    <t xml:space="preserve">Overall, how well do you think your country does in the following sectors?: Automotive </t>
  </si>
  <si>
    <t>Overall, how well do you think your country does in the following sectors?: Digital technology</t>
  </si>
  <si>
    <t>Very confident</t>
  </si>
  <si>
    <t>Somewhat confident</t>
  </si>
  <si>
    <t>Neither confident nor unconfident</t>
  </si>
  <si>
    <t>Somewhat unconfident</t>
  </si>
  <si>
    <t>Very unconfident</t>
  </si>
  <si>
    <t>Total Confident:</t>
  </si>
  <si>
    <t>Total Unconfident:</t>
  </si>
  <si>
    <t>Net:</t>
  </si>
  <si>
    <t xml:space="preserve"> How confident or unconfident are you in your Government’s ability to grow its digital technology sector in the next five years?</t>
  </si>
  <si>
    <t>I would like innovation or change in digital technology to be faster</t>
  </si>
  <si>
    <t>I think the current pace of innovation or change in digital technology is about right</t>
  </si>
  <si>
    <t>I would like innovation or change in digital technology to be slower</t>
  </si>
  <si>
    <t xml:space="preserve"> Which of the following is closest to your view?</t>
  </si>
  <si>
    <t>BASE: Question randomly assigned to respondents</t>
  </si>
  <si>
    <t>A smartphone (eg iPhone, Android)</t>
  </si>
  <si>
    <t>A desktop or laptop computer</t>
  </si>
  <si>
    <t>A tablet computer (eg iPad)</t>
  </si>
  <si>
    <t>A games console (eg Sony PlayStation, Microsoft Xbox, Nintendo Switch)</t>
  </si>
  <si>
    <t>A smart watch (eg Apple Watch, FitBit)</t>
  </si>
  <si>
    <t>A smart speaker (eg Amazon Echo, Google Home)</t>
  </si>
  <si>
    <t>A VR headset (eg Meta Quest)</t>
  </si>
  <si>
    <t>Other (Please Specify)</t>
  </si>
  <si>
    <t>Which, if any, of the following technologies do you use regularly?Please select all that apply</t>
  </si>
  <si>
    <t>Yes, I tend to be a relatively early adopter of new technologies</t>
  </si>
  <si>
    <t>I tend to adopt new technology around the same time as the average person</t>
  </si>
  <si>
    <t>No, I tend to be a relatively late adopter of new technologies</t>
  </si>
  <si>
    <t xml:space="preserve"> Compared to the average person in your country, would you say that you are an early adopter of new technology?</t>
  </si>
  <si>
    <t>Search engine</t>
  </si>
  <si>
    <t>Banking app or website</t>
  </si>
  <si>
    <t>Social media</t>
  </si>
  <si>
    <t>Online shop</t>
  </si>
  <si>
    <t>Text messaging</t>
  </si>
  <si>
    <t>Mapping</t>
  </si>
  <si>
    <t>Video streaming</t>
  </si>
  <si>
    <t>Music streaming</t>
  </si>
  <si>
    <t>Documents</t>
  </si>
  <si>
    <t>Computer games</t>
  </si>
  <si>
    <t>Video chat</t>
  </si>
  <si>
    <t>Spreadsheets</t>
  </si>
  <si>
    <t>Blockchain and/or cryptocurrency</t>
  </si>
  <si>
    <t>An Integrated Development Environment</t>
  </si>
  <si>
    <t>Which, if any, of the following types of apps or websites do you use regularly?Please select all that apply</t>
  </si>
  <si>
    <t xml:space="preserve"> At work</t>
  </si>
  <si>
    <t xml:space="preserve"> At home</t>
  </si>
  <si>
    <t xml:space="preserve"> While travelling</t>
  </si>
  <si>
    <t>Very satisfied</t>
  </si>
  <si>
    <t>Somewhat satisfied</t>
  </si>
  <si>
    <t>Neither satisfied nor unsatisfied</t>
  </si>
  <si>
    <t>Somewhat unsatisfied</t>
  </si>
  <si>
    <t>Very unsatisfied</t>
  </si>
  <si>
    <t>Total Satisfied:</t>
  </si>
  <si>
    <t>Total Unsatisfied:</t>
  </si>
  <si>
    <t>Grid Summary: Overall, how satisfied or unsatisfied are you with the speed and reliability of your Internet connection in the following locations?</t>
  </si>
  <si>
    <t>Overall, how satisfied or unsatisfied are you with the speed and reliability of your Internet connection in the following locations?: At home</t>
  </si>
  <si>
    <t>Overall, how satisfied or unsatisfied are you with the speed and reliability of your Internet connection in the following locations?: While travelling</t>
  </si>
  <si>
    <t>Overall, how satisfied or unsatisfied are you with the speed and reliability of your Internet connection in the following locations?: At work</t>
  </si>
  <si>
    <t>Check your bank balance</t>
  </si>
  <si>
    <t>Buy a product or service online</t>
  </si>
  <si>
    <t>Watch a film or TV show</t>
  </si>
  <si>
    <t>Comparison shop between two products or services</t>
  </si>
  <si>
    <t>Research a hobby or personal interest</t>
  </si>
  <si>
    <t>Have a video chat with friends or relatives</t>
  </si>
  <si>
    <t>Book a medical appointment</t>
  </si>
  <si>
    <t>Pay your taxes</t>
  </si>
  <si>
    <t>Track your exercise</t>
  </si>
  <si>
    <t>Track your health</t>
  </si>
  <si>
    <t>Look for a job</t>
  </si>
  <si>
    <t>Research a new skill for your career</t>
  </si>
  <si>
    <t>Find someone new to date</t>
  </si>
  <si>
    <t>Which, if any, of the following activities have you used a website or app to do in the last year?Please select all that apply</t>
  </si>
  <si>
    <t>And which, if any, of the same list activities did you use a website or app to do for the first time in the last two years?Please select all that apply</t>
  </si>
  <si>
    <t>Not applicable - I don’t use computers for my job, or never run into problems with knowing what to do on computers</t>
  </si>
  <si>
    <t>Less than 5 minutes a day</t>
  </si>
  <si>
    <t>5 - 15 minutes a day</t>
  </si>
  <si>
    <t>16 - 30 minutes a day</t>
  </si>
  <si>
    <t>31 - 60 minutes a day</t>
  </si>
  <si>
    <t>More than an hour each day</t>
  </si>
  <si>
    <t>Don’t Know</t>
  </si>
  <si>
    <t xml:space="preserve"> How much time do you spend on an average working day working out to do something which you at first didn’t know how to do on the computer?For example, working out how to correctly format a file, share a link to a video call, or write a spreadsheet formula.</t>
  </si>
  <si>
    <t xml:space="preserve"> Send an email</t>
  </si>
  <si>
    <t xml:space="preserve"> Research a topic</t>
  </si>
  <si>
    <t xml:space="preserve"> Find a good price for a product online</t>
  </si>
  <si>
    <t xml:space="preserve"> Book an appointment with a doctor</t>
  </si>
  <si>
    <t xml:space="preserve"> Save a document</t>
  </si>
  <si>
    <t xml:space="preserve"> Post something on social media</t>
  </si>
  <si>
    <t xml:space="preserve"> Share a file online</t>
  </si>
  <si>
    <t xml:space="preserve"> Tracking changes in a document</t>
  </si>
  <si>
    <t xml:space="preserve"> Edit a photo</t>
  </si>
  <si>
    <t xml:space="preserve"> Use two-factor authentication</t>
  </si>
  <si>
    <t xml:space="preserve"> Schedule a video meeting</t>
  </si>
  <si>
    <t xml:space="preserve"> Create a spreadsheet to track your budget</t>
  </si>
  <si>
    <t xml:space="preserve"> Edit a video</t>
  </si>
  <si>
    <t xml:space="preserve"> Analyse a large dataset that wouldn’t fit into a spreadsheet</t>
  </si>
  <si>
    <t xml:space="preserve"> Create your own website</t>
  </si>
  <si>
    <t xml:space="preserve"> Program a small application</t>
  </si>
  <si>
    <t xml:space="preserve"> Build a machine learning model</t>
  </si>
  <si>
    <t>Neither confident or unconfident</t>
  </si>
  <si>
    <t>Grid Summary: How confident or unconfident would you be that you could perform the following digital activities?</t>
  </si>
  <si>
    <t>How confident or unconfident would you be that you could perform the following digital activities?: Save a document</t>
  </si>
  <si>
    <t>How confident or unconfident would you be that you could perform the following digital activities?: Tracking changes in a document</t>
  </si>
  <si>
    <t>How confident or unconfident would you be that you could perform the following digital activities?: Send an email</t>
  </si>
  <si>
    <t>How confident or unconfident would you be that you could perform the following digital activities?: Share a file online</t>
  </si>
  <si>
    <t>How confident or unconfident would you be that you could perform the following digital activities?: Post something on social media</t>
  </si>
  <si>
    <t>How confident or unconfident would you be that you could perform the following digital activities?: Create a spreadsheet to track your budget</t>
  </si>
  <si>
    <t>How confident or unconfident would you be that you could perform the following digital activities?: Find a good price for a product online</t>
  </si>
  <si>
    <t>How confident or unconfident would you be that you could perform the following digital activities?: Research a topic</t>
  </si>
  <si>
    <t>How confident or unconfident would you be that you could perform the following digital activities?: Edit a photo</t>
  </si>
  <si>
    <t>How confident or unconfident would you be that you could perform the following digital activities?: Create your own website</t>
  </si>
  <si>
    <t>How confident or unconfident would you be that you could perform the following digital activities?: Program a small application</t>
  </si>
  <si>
    <t>How confident or unconfident would you be that you could perform the following digital activities?: Build a machine learning model</t>
  </si>
  <si>
    <t>How confident or unconfident would you be that you could perform the following digital activities?: Book an appointment with a doctor</t>
  </si>
  <si>
    <t>How confident or unconfident would you be that you could perform the following digital activities?: Schedule a video meeting</t>
  </si>
  <si>
    <t>How confident or unconfident would you be that you could perform the following digital activities?: Use two-factor authentication</t>
  </si>
  <si>
    <t>How confident or unconfident would you be that you could perform the following digital activities?: Edit a video</t>
  </si>
  <si>
    <t>How confident or unconfident would you be that you could perform the following digital activities?: Analyse a large dataset that wouldn’t fit into a spreadsheet</t>
  </si>
  <si>
    <t xml:space="preserve"> Copied or moved files or folders</t>
  </si>
  <si>
    <t xml:space="preserve"> Saved files on Internet storage space</t>
  </si>
  <si>
    <t xml:space="preserve"> Obtained information from public authorities/services' websites</t>
  </si>
  <si>
    <t xml:space="preserve"> Finding information about goods or services</t>
  </si>
  <si>
    <t xml:space="preserve"> Seeking health-related information</t>
  </si>
  <si>
    <t xml:space="preserve"> Sending/receiving emails</t>
  </si>
  <si>
    <t xml:space="preserve"> Participating in social networks</t>
  </si>
  <si>
    <t xml:space="preserve"> Telephoning/video calls over the internet</t>
  </si>
  <si>
    <t xml:space="preserve"> Uploading self-created content to any website to be shared</t>
  </si>
  <si>
    <t xml:space="preserve"> Transferring files between computers or other devices</t>
  </si>
  <si>
    <t xml:space="preserve"> Installing software and applications (apps)</t>
  </si>
  <si>
    <t xml:space="preserve"> Changing settings of any software, including operational system or security programs</t>
  </si>
  <si>
    <t xml:space="preserve"> Online purchases</t>
  </si>
  <si>
    <t xml:space="preserve"> Selling online</t>
  </si>
  <si>
    <t xml:space="preserve"> Used online learning resources</t>
  </si>
  <si>
    <t xml:space="preserve"> Internet banking</t>
  </si>
  <si>
    <t xml:space="preserve"> Used word processing software</t>
  </si>
  <si>
    <t xml:space="preserve"> Used spreadsheet software</t>
  </si>
  <si>
    <t xml:space="preserve"> Used software to edit photos, video or audio files</t>
  </si>
  <si>
    <t xml:space="preserve"> Created presentation or document integrating text, pictures, tables or charts</t>
  </si>
  <si>
    <t xml:space="preserve"> Used advanced functions of spreadsheet to organise and analyse data (sorting, filtering, using formulas, creating charts)</t>
  </si>
  <si>
    <t xml:space="preserve"> Have written a code in a programming language</t>
  </si>
  <si>
    <t>No, have not done in last three months</t>
  </si>
  <si>
    <t>Yes, have done in last three months</t>
  </si>
  <si>
    <t>Don’t know</t>
  </si>
  <si>
    <t>Grid Summary: In the last three months, have you used the Internet or a software to do any of the following?</t>
  </si>
  <si>
    <t>In the last three months, have you used the Internet or a software to do any of the following?: Copied or moved files or folders</t>
  </si>
  <si>
    <t>In the last three months, have you used the Internet or a software to do any of the following?: Saved files on Internet storage space</t>
  </si>
  <si>
    <t>In the last three months, have you used the Internet or a software to do any of the following?: Obtained information from public authorities/services' websites</t>
  </si>
  <si>
    <t>In the last three months, have you used the Internet or a software to do any of the following?: Finding information about goods or services</t>
  </si>
  <si>
    <t>In the last three months, have you used the Internet or a software to do any of the following?: Seeking health-related information</t>
  </si>
  <si>
    <t>In the last three months, have you used the Internet or a software to do any of the following?: Sending/receiving emails</t>
  </si>
  <si>
    <t>In the last three months, have you used the Internet or a software to do any of the following?: Participating in social networks</t>
  </si>
  <si>
    <t>In the last three months, have you used the Internet or a software to do any of the following?: Telephoning/video calls over the internet</t>
  </si>
  <si>
    <t>In the last three months, have you used the Internet or a software to do any of the following?: Uploading self-created content to any website to be shared</t>
  </si>
  <si>
    <t>In the last three months, have you used the Internet or a software to do any of the following?: Transferring files between computers or other devices</t>
  </si>
  <si>
    <t>In the last three months, have you used the Internet or a software to do any of the following?: Installing software and applications (apps)</t>
  </si>
  <si>
    <t>In the last three months, have you used the Internet or a software to do any of the following?: Changing settings of any software, including operational system or security programs</t>
  </si>
  <si>
    <t>In the last three months, have you used the Internet or a software to do any of the following?: Online purchases</t>
  </si>
  <si>
    <t>In the last three months, have you used the Internet or a software to do any of the following?: Selling online</t>
  </si>
  <si>
    <t>In the last three months, have you used the Internet or a software to do any of the following?: Used online learning resources</t>
  </si>
  <si>
    <t>In the last three months, have you used the Internet or a software to do any of the following?: Internet banking</t>
  </si>
  <si>
    <t>In the last three months, have you used the Internet or a software to do any of the following?: Used word processing software</t>
  </si>
  <si>
    <t>In the last three months, have you used the Internet or a software to do any of the following?: Used spreadsheet software</t>
  </si>
  <si>
    <t>In the last three months, have you used the Internet or a software to do any of the following?: Used software to edit photos, video or audio files</t>
  </si>
  <si>
    <t>In the last three months, have you used the Internet or a software to do any of the following?: Created presentation or document integrating text, pictures, tables or charts</t>
  </si>
  <si>
    <t>In the last three months, have you used the Internet or a software to do any of the following?: Used advanced functions of spreadsheet to organise and analyse data (sorting, filtering, using formulas, creating charts)</t>
  </si>
  <si>
    <t>In the last three months, have you used the Internet or a software to do any of the following?: Have written a code in a programming language</t>
  </si>
  <si>
    <t>Trial and error</t>
  </si>
  <si>
    <t>Your own independent research (i.e. Google)</t>
  </si>
  <si>
    <t>From a friend or family member</t>
  </si>
  <si>
    <t>School IT classes</t>
  </si>
  <si>
    <t>Free online class</t>
  </si>
  <si>
    <t>Online class, paid for by your company</t>
  </si>
  <si>
    <t>University IT classes</t>
  </si>
  <si>
    <t>Online class, paid for by yourself</t>
  </si>
  <si>
    <t>Where did you learn the majority of your own digital skills?Please select all that apply</t>
  </si>
  <si>
    <t>Backing up your data</t>
  </si>
  <si>
    <t>Researching a topic online</t>
  </si>
  <si>
    <t>Good email etiquette</t>
  </si>
  <si>
    <t>Share a document online</t>
  </si>
  <si>
    <t>Creating a basic spreadsheet</t>
  </si>
  <si>
    <t>Tracking changes in a document</t>
  </si>
  <si>
    <t>Posting responsibly on social media</t>
  </si>
  <si>
    <t>Managing social media channels (eg Twitter, LinkedIn etc)</t>
  </si>
  <si>
    <t>Creating or updating a website</t>
  </si>
  <si>
    <t>Programming a basic application</t>
  </si>
  <si>
    <t>Which digital skills do you think it is important for an average worker to be able to do today?Please select all that apply</t>
  </si>
  <si>
    <t>And which digital skills do you think it is not important for an average worker to be able to do today?Please select all that apply</t>
  </si>
  <si>
    <t xml:space="preserve"> Researching a topic online</t>
  </si>
  <si>
    <t xml:space="preserve"> Backing up their data</t>
  </si>
  <si>
    <t xml:space="preserve"> Share a document online</t>
  </si>
  <si>
    <t xml:space="preserve"> Creating a basic spreadsheet</t>
  </si>
  <si>
    <t xml:space="preserve"> Posting responsibly on social media</t>
  </si>
  <si>
    <t xml:space="preserve"> Learning how to program</t>
  </si>
  <si>
    <t xml:space="preserve"> Create their own website</t>
  </si>
  <si>
    <t>Very important</t>
  </si>
  <si>
    <t>Somewhat important</t>
  </si>
  <si>
    <t>Neither important nor unimportant</t>
  </si>
  <si>
    <t>Somewhat unimportant</t>
  </si>
  <si>
    <t>Very unimportant</t>
  </si>
  <si>
    <t>Total Important:</t>
  </si>
  <si>
    <t>Total Unimportant:</t>
  </si>
  <si>
    <t>Grid Summary: How important or unimportant is it to you that your child/children learn the following digital skills in school?</t>
  </si>
  <si>
    <t>How important or unimportant is it to you that your child/children learn the following digital skills in school?: Share a document online</t>
  </si>
  <si>
    <t>How important or unimportant is it to you that your child/children learn the following digital skills in school?: Tracking changes in a document</t>
  </si>
  <si>
    <t>How important or unimportant is it to you that your child/children learn the following digital skills in school?: Posting responsibly on social media</t>
  </si>
  <si>
    <t>How important or unimportant is it to you that your child/children learn the following digital skills in school?: Researching a topic online</t>
  </si>
  <si>
    <t>How important or unimportant is it to you that your child/children learn the following digital skills in school?: Backing up their data</t>
  </si>
  <si>
    <t>How important or unimportant is it to you that your child/children learn the following digital skills in school?: Creating a basic spreadsheet</t>
  </si>
  <si>
    <t>How important or unimportant is it to you that your child/children learn the following digital skills in school?: Learning how to program</t>
  </si>
  <si>
    <t>How important or unimportant is it to you that your child/children learn the following digital skills in school?: Create their own website</t>
  </si>
  <si>
    <t>How important or unimportant is it to you that your child/children learn the following digital skills in school?: Build a machine learning model</t>
  </si>
  <si>
    <t xml:space="preserve"> Price</t>
  </si>
  <si>
    <t xml:space="preserve"> Features offered by the service</t>
  </si>
  <si>
    <t xml:space="preserve"> How easy the service is to use</t>
  </si>
  <si>
    <t xml:space="preserve"> Ensuring data privacy</t>
  </si>
  <si>
    <t xml:space="preserve"> Low carbon footprint</t>
  </si>
  <si>
    <t>Neither important or unimportant</t>
  </si>
  <si>
    <t>Grid Summary: When choosing a digital product or service, how important or unimportant do the following features of the service tend to be?</t>
  </si>
  <si>
    <t>When choosing a digital product or service, how important or unimportant do the following features of the service tend to be?: Price</t>
  </si>
  <si>
    <t>When choosing a digital product or service, how important or unimportant do the following features of the service tend to be?: How easy the service is to use</t>
  </si>
  <si>
    <t>When choosing a digital product or service, how important or unimportant do the following features of the service tend to be?: Features offered by the service</t>
  </si>
  <si>
    <t>When choosing a digital product or service, how important or unimportant do the following features of the service tend to be?: Ensuring data privacy</t>
  </si>
  <si>
    <t>When choosing a digital product or service, how important or unimportant do the following features of the service tend to be?: Low carbon footprint</t>
  </si>
  <si>
    <t>Desk or office based job</t>
  </si>
  <si>
    <t>In a factory, warehouse or construction job</t>
  </si>
  <si>
    <t>In a shop, restaurant, hotel or hospitality venue</t>
  </si>
  <si>
    <t>In a school, hospital or other public service</t>
  </si>
  <si>
    <t>In transport or logistics</t>
  </si>
  <si>
    <t>Other</t>
  </si>
  <si>
    <t xml:space="preserve"> Which, if any, of the following descriptions best matches your current work?</t>
  </si>
  <si>
    <t xml:space="preserve"> Smartphone</t>
  </si>
  <si>
    <t xml:space="preserve"> Web browser</t>
  </si>
  <si>
    <t xml:space="preserve"> Text messaging</t>
  </si>
  <si>
    <t xml:space="preserve"> Social media</t>
  </si>
  <si>
    <t xml:space="preserve"> Video chat</t>
  </si>
  <si>
    <t xml:space="preserve"> Documents</t>
  </si>
  <si>
    <t xml:space="preserve"> Spreadsheets</t>
  </si>
  <si>
    <t xml:space="preserve"> Programming</t>
  </si>
  <si>
    <t xml:space="preserve"> AI / Machine Learning</t>
  </si>
  <si>
    <t>Essential - could not do my job without it</t>
  </si>
  <si>
    <t>Not that important</t>
  </si>
  <si>
    <t>Don’t use this</t>
  </si>
  <si>
    <t>Don’t know what this is</t>
  </si>
  <si>
    <t>Grid Summary: How important or unimportant are the following technologies to you personally in getting your job done?</t>
  </si>
  <si>
    <t>How important or unimportant are the following technologies to you personally in getting your job done?: Smartphone</t>
  </si>
  <si>
    <t>How important or unimportant are the following technologies to you personally in getting your job done?: Web browser</t>
  </si>
  <si>
    <t>How important or unimportant are the following technologies to you personally in getting your job done?: Text messaging</t>
  </si>
  <si>
    <t>How important or unimportant are the following technologies to you personally in getting your job done?: Social media</t>
  </si>
  <si>
    <t>How important or unimportant are the following technologies to you personally in getting your job done?: Video chat</t>
  </si>
  <si>
    <t>How important or unimportant are the following technologies to you personally in getting your job done?: Documents</t>
  </si>
  <si>
    <t>How important or unimportant are the following technologies to you personally in getting your job done?: Spreadsheets</t>
  </si>
  <si>
    <t>How important or unimportant are the following technologies to you personally in getting your job done?: Programming</t>
  </si>
  <si>
    <t>How important or unimportant are the following technologies to you personally in getting your job done?: AI / Machine Learning</t>
  </si>
  <si>
    <t xml:space="preserve"> Online documents or spreadsheets</t>
  </si>
  <si>
    <t xml:space="preserve"> Instant or messaging</t>
  </si>
  <si>
    <t>Grid Summary: And how important or unimportant are the following online tools to getting your job done?</t>
  </si>
  <si>
    <t>And how important or unimportant are the following online tools to getting your job done?: Online documents or spreadsheets</t>
  </si>
  <si>
    <t>And how important or unimportant are the following online tools to getting your job done?: Instant or messaging</t>
  </si>
  <si>
    <t>And how important or unimportant are the following online tools to getting your job done?: Video chat</t>
  </si>
  <si>
    <t xml:space="preserve"> Lack of digital skills</t>
  </si>
  <si>
    <t xml:space="preserve"> Gaps in employment</t>
  </si>
  <si>
    <t xml:space="preserve"> Lack of formal education (e.g. university degree)</t>
  </si>
  <si>
    <t xml:space="preserve"> Caring responsibilities</t>
  </si>
  <si>
    <t xml:space="preserve"> Lack of transportation (e.g. not having access to a car)</t>
  </si>
  <si>
    <t xml:space="preserve"> Lack of experience</t>
  </si>
  <si>
    <t>This is a significant barrier to me</t>
  </si>
  <si>
    <t>This is somewhat of a barrier to me</t>
  </si>
  <si>
    <t>This is not really a barrier to me</t>
  </si>
  <si>
    <t>This is not at all a barrier to me</t>
  </si>
  <si>
    <t>Grid Summary: To what extent are the following preventing you, or not, from getting a better paid job?</t>
  </si>
  <si>
    <t>To what extent are the following preventing you, or not, from getting a better paid job?: Lack of digital skills</t>
  </si>
  <si>
    <t>To what extent are the following preventing you, or not, from getting a better paid job?: Gaps in employment</t>
  </si>
  <si>
    <t>To what extent are the following preventing you, or not, from getting a better paid job?: Lack of formal education (e.g. university degree)</t>
  </si>
  <si>
    <t>To what extent are the following preventing you, or not, from getting a better paid job?: Caring responsibilities</t>
  </si>
  <si>
    <t>To what extent are the following preventing you, or not, from getting a better paid job?: Lack of transportation (e.g. not having access to a car)</t>
  </si>
  <si>
    <t>To what extent are the following preventing you, or not, from getting a better paid job?: Lack of experience</t>
  </si>
  <si>
    <t>Working full-time at your place of work</t>
  </si>
  <si>
    <t>Working full-time from your home or another remote location (eg coffee shop, co-working space)</t>
  </si>
  <si>
    <t>Working a mixture of your place of work and at home (eg working hybridly)</t>
  </si>
  <si>
    <t xml:space="preserve"> Which of the following best describes the way you currently work?</t>
  </si>
  <si>
    <t>Yes - am going to work from home permanently, or for the foreseeable future</t>
  </si>
  <si>
    <t>No - this is just for the short term</t>
  </si>
  <si>
    <t xml:space="preserve"> You said that you are currently working from home. Do you currently expect to continue to work from home for the foreseeable future?</t>
  </si>
  <si>
    <t>I cannot access some digital tools or apps that are important for my job</t>
  </si>
  <si>
    <t>I cannot access some digital tools or apps, but they are not that important</t>
  </si>
  <si>
    <t>I can access all the same digital tools and apps</t>
  </si>
  <si>
    <t xml:space="preserve"> When you work from home, are there any digital tools or apps that you normally use at your company’s main place of work that you are not able to access? </t>
  </si>
  <si>
    <t>Pay your taxes or a fine</t>
  </si>
  <si>
    <t>Prove your identity</t>
  </si>
  <si>
    <t>Accessing medical records</t>
  </si>
  <si>
    <t>Have a medical consultation</t>
  </si>
  <si>
    <t>Renew a passport or driving licence</t>
  </si>
  <si>
    <t>Apply for benefits</t>
  </si>
  <si>
    <t>None</t>
  </si>
  <si>
    <t>Vote in an election</t>
  </si>
  <si>
    <t>Which government related activities have you used a website or app for?Please select all that apply</t>
  </si>
  <si>
    <t>And which do you think you would be comfortable using a website or app for?Please select all that apply</t>
  </si>
  <si>
    <t>Very easy</t>
  </si>
  <si>
    <t>Somewhat easy</t>
  </si>
  <si>
    <t>Neither easy or difficult</t>
  </si>
  <si>
    <t>Somewhat difficult</t>
  </si>
  <si>
    <t>Very difficult</t>
  </si>
  <si>
    <t>Total Easy:</t>
  </si>
  <si>
    <t>Total Difficult:</t>
  </si>
  <si>
    <t xml:space="preserve"> Overall, how easy or difficult do you find it to use your government’s websites or apps?</t>
  </si>
  <si>
    <t xml:space="preserve"> If you were trying to find information or a service from your government’s website or app, how confident or unconfident are you that you could find it?</t>
  </si>
  <si>
    <t xml:space="preserve"> Pay your taxes or a fine</t>
  </si>
  <si>
    <t xml:space="preserve"> Apply for benefits</t>
  </si>
  <si>
    <t xml:space="preserve"> Book a medical appointment</t>
  </si>
  <si>
    <t xml:space="preserve"> Have a medical consultation</t>
  </si>
  <si>
    <t xml:space="preserve"> Prove your identity</t>
  </si>
  <si>
    <t xml:space="preserve"> Accessing medical records</t>
  </si>
  <si>
    <t xml:space="preserve"> Renew a passport or driving licence</t>
  </si>
  <si>
    <t xml:space="preserve"> Vote in an election</t>
  </si>
  <si>
    <t>Very helpful</t>
  </si>
  <si>
    <t>Somewhat helpful</t>
  </si>
  <si>
    <t>Neither helpful or unhelpful</t>
  </si>
  <si>
    <t>Somewhat unhelpful</t>
  </si>
  <si>
    <t>Very unhelpful</t>
  </si>
  <si>
    <t>Grid Summary: You said you had used a government website or app to do the following activities. How helpful or unhelpful did you find it?</t>
  </si>
  <si>
    <t>You said you had used a government website or app to do the following activities. How helpful or unhelpful did you find it?: Pay your taxes or a fine</t>
  </si>
  <si>
    <t>You said you had used a government website or app to do the following activities. How helpful or unhelpful did you find it?: Apply for benefits</t>
  </si>
  <si>
    <t>You said you had used a government website or app to do the following activities. How helpful or unhelpful did you find it?: Book a medical appointment</t>
  </si>
  <si>
    <t>You said you had used a government website or app to do the following activities. How helpful or unhelpful did you find it?: Have a medical consultation</t>
  </si>
  <si>
    <t>You said you had used a government website or app to do the following activities. How helpful or unhelpful did you find it?: Prove your identity</t>
  </si>
  <si>
    <t>You said you had used a government website or app to do the following activities. How helpful or unhelpful did you find it?: Accessing medical records</t>
  </si>
  <si>
    <t>You said you had used a government website or app to do the following activities. How helpful or unhelpful did you find it?: Renew a passport or driving licence</t>
  </si>
  <si>
    <t>You said you had used a government website or app to do the following activities. How helpful or unhelpful did you find it?: Vote in an election</t>
  </si>
  <si>
    <t>There is significantly more my Government could do to make it easier to access public services through digital technology</t>
  </si>
  <si>
    <t>I can already access the most important public services through digital technology</t>
  </si>
  <si>
    <t>Very good</t>
  </si>
  <si>
    <t>Somewhat good</t>
  </si>
  <si>
    <t>Neither good or bad</t>
  </si>
  <si>
    <t>Somewhat bad</t>
  </si>
  <si>
    <t>Very bad</t>
  </si>
  <si>
    <t xml:space="preserve"> Overall, how good or bad a job do you think your Government and public services do at taking advantage of digital technology?</t>
  </si>
  <si>
    <t xml:space="preserve"> Electric cars</t>
  </si>
  <si>
    <t xml:space="preserve"> Self-driving taxis</t>
  </si>
  <si>
    <t xml:space="preserve"> Self-driving personal cars</t>
  </si>
  <si>
    <t xml:space="preserve"> The Metaverse</t>
  </si>
  <si>
    <t xml:space="preserve"> Advanced virtual reality headsets</t>
  </si>
  <si>
    <t xml:space="preserve"> Household robots</t>
  </si>
  <si>
    <t xml:space="preserve"> Drone delivery</t>
  </si>
  <si>
    <t xml:space="preserve"> Augmented reality headsets</t>
  </si>
  <si>
    <t xml:space="preserve"> Artificial Intelligence assistants at work</t>
  </si>
  <si>
    <t xml:space="preserve"> Artificial Intelligence medical diagnosis</t>
  </si>
  <si>
    <t xml:space="preserve"> Artificial Intelligence checkouts at shops (“just walk out”)</t>
  </si>
  <si>
    <t xml:space="preserve"> Blockchain (eg cryptocurrency, NFTs etc)</t>
  </si>
  <si>
    <t xml:space="preserve"> 6G</t>
  </si>
  <si>
    <t>I am very familiar with this potential technology</t>
  </si>
  <si>
    <t>I am somewhat familiar with this potential technology</t>
  </si>
  <si>
    <t>I am not very familiar with this technology</t>
  </si>
  <si>
    <t>I do not know what this</t>
  </si>
  <si>
    <t>Grid Summary: For each of the below technologies, please indicate how familiar you are with the technology</t>
  </si>
  <si>
    <t>For each of the below technologies, please indicate how familiar you are with the technology: Electric cars</t>
  </si>
  <si>
    <t>For each of the below technologies, please indicate how familiar you are with the technology: Self-driving taxis</t>
  </si>
  <si>
    <t>For each of the below technologies, please indicate how familiar you are with the technology: Self-driving personal cars</t>
  </si>
  <si>
    <t>For each of the below technologies, please indicate how familiar you are with the technology: The Metaverse</t>
  </si>
  <si>
    <t>For each of the below technologies, please indicate how familiar you are with the technology: Advanced virtual reality headsets</t>
  </si>
  <si>
    <t>For each of the below technologies, please indicate how familiar you are with the technology: Household robots</t>
  </si>
  <si>
    <t>For each of the below technologies, please indicate how familiar you are with the technology: Drone delivery</t>
  </si>
  <si>
    <t>For each of the below technologies, please indicate how familiar you are with the technology: Augmented reality headsets</t>
  </si>
  <si>
    <t>For each of the below technologies, please indicate how familiar you are with the technology: Artificial Intelligence assistants at work</t>
  </si>
  <si>
    <t>For each of the below technologies, please indicate how familiar you are with the technology: Artificial Intelligence medical diagnosis</t>
  </si>
  <si>
    <t>For each of the below technologies, please indicate how familiar you are with the technology: Artificial Intelligence checkouts at shops (“just walk out”)</t>
  </si>
  <si>
    <t>For each of the below technologies, please indicate how familiar you are with the technology: Blockchain (eg cryptocurrency, NFTs etc)</t>
  </si>
  <si>
    <t>For each of the below technologies, please indicate how familiar you are with the technology: 6G</t>
  </si>
  <si>
    <t>I am very comfortable with this potential technology</t>
  </si>
  <si>
    <t>I am somewhat comfortable with this potential technology</t>
  </si>
  <si>
    <t>I am not very comfortable with this technology</t>
  </si>
  <si>
    <t>Grid Summary: For each of the below technologies, please indicate how comfortable you are with the technology</t>
  </si>
  <si>
    <t>For each of the below technologies, please indicate how comfortable you are with the technology: Electric cars</t>
  </si>
  <si>
    <t>For each of the below technologies, please indicate how comfortable you are with the technology: Self-driving taxis</t>
  </si>
  <si>
    <t>For each of the below technologies, please indicate how comfortable you are with the technology: Self-driving personal cars</t>
  </si>
  <si>
    <t>For each of the below technologies, please indicate how comfortable you are with the technology: The Metaverse</t>
  </si>
  <si>
    <t>For each of the below technologies, please indicate how comfortable you are with the technology: Advanced virtual reality headsets</t>
  </si>
  <si>
    <t>For each of the below technologies, please indicate how comfortable you are with the technology: Augmented reality headsets</t>
  </si>
  <si>
    <t>For each of the below technologies, please indicate how comfortable you are with the technology: Artificial Intelligence assistants at work</t>
  </si>
  <si>
    <t>For each of the below technologies, please indicate how comfortable you are with the technology: Artificial Intelligence medical diagnosis</t>
  </si>
  <si>
    <t>For each of the below technologies, please indicate how comfortable you are with the technology: Artificial Intelligence checkouts at shops (“just walk out”)</t>
  </si>
  <si>
    <t>For each of the below technologies, please indicate how comfortable you are with the technology: Blockchain (eg cryptocurrency, NFTs etc)</t>
  </si>
  <si>
    <t>For each of the below technologies, please indicate how comfortable you are with the technology: Household robots</t>
  </si>
  <si>
    <t>For each of the below technologies, please indicate how comfortable you are with the technology: Drone delivery</t>
  </si>
  <si>
    <t>For each of the below technologies, please indicate how comfortable you are with the technology: 6G</t>
  </si>
  <si>
    <t>Electric cars</t>
  </si>
  <si>
    <t>Household robots</t>
  </si>
  <si>
    <t>Artificial Intelligence checkouts at shops (“just walk out”)</t>
  </si>
  <si>
    <t>Drone delivery</t>
  </si>
  <si>
    <t>6G</t>
  </si>
  <si>
    <t>Artificial Intelligence medical diagnosis</t>
  </si>
  <si>
    <t>Self-driving cars</t>
  </si>
  <si>
    <t>Advanced virtual reality headsets</t>
  </si>
  <si>
    <t>Augmented reality headsets</t>
  </si>
  <si>
    <t>Artificial Intelligence assistants at work</t>
  </si>
  <si>
    <t>Blockchain (eg cryptocurrency, NFTs etc)</t>
  </si>
  <si>
    <t>The Metaverse</t>
  </si>
  <si>
    <t>Which of these technologies, if any, would you be likely to use in the next decade?Please select all that apply</t>
  </si>
  <si>
    <t>Virtual reality headsets</t>
  </si>
  <si>
    <t>And which of these technologies, if any, do you think could make a significant difference to your everyday life?Please select all that apply</t>
  </si>
  <si>
    <t xml:space="preserve"> We should do more to help people learn basic digital skills</t>
  </si>
  <si>
    <t xml:space="preserve"> It is difficult for a modern economy to prosper without a strong digital technology sector</t>
  </si>
  <si>
    <t xml:space="preserve"> I would like to have learned more about computing and digital technology when I was at school</t>
  </si>
  <si>
    <t xml:space="preserve"> Europe’s technology sector is falling behind other countries or regions</t>
  </si>
  <si>
    <t xml:space="preserve"> My country is a digital frontrunner when compared to other European countries</t>
  </si>
  <si>
    <t>Strongly agree</t>
  </si>
  <si>
    <t>Somewhat agree</t>
  </si>
  <si>
    <t>Neither agree or disagree</t>
  </si>
  <si>
    <t>Somewhat disagree</t>
  </si>
  <si>
    <t>Strongly disagree</t>
  </si>
  <si>
    <t>Total Agree:</t>
  </si>
  <si>
    <t>Total Disagree:</t>
  </si>
  <si>
    <t>Grid Summary: Do you tend to agree or disagree with the following?</t>
  </si>
  <si>
    <t>Do you tend to agree or disagree with the following?: It is difficult for a modern economy to prosper without a strong digital technology sector</t>
  </si>
  <si>
    <t>Do you tend to agree or disagree with the following?: Europe’s technology sector is falling behind other countries or regions</t>
  </si>
  <si>
    <t>Do you tend to agree or disagree with the following?: We should do more to help people learn basic digital skills</t>
  </si>
  <si>
    <t>Do you tend to agree or disagree with the following?: I would like to have learned more about computing and digital technology when I was at school</t>
  </si>
  <si>
    <t>Do you tend to agree or disagree with the following?: My country is a digital frontrunner when compared to other European countries</t>
  </si>
  <si>
    <t xml:space="preserve"> Overall, how confident or unconfident are you in keeping your personal digital data secure?</t>
  </si>
  <si>
    <t xml:space="preserve"> Hosted by your government</t>
  </si>
  <si>
    <t xml:space="preserve"> Hosted in the on premises computers of a company from your country</t>
  </si>
  <si>
    <t xml:space="preserve"> Hosted in a data centre in your country owned by an international company</t>
  </si>
  <si>
    <t xml:space="preserve"> Hosted in a data centre in another country</t>
  </si>
  <si>
    <t>Strongly trust</t>
  </si>
  <si>
    <t>Somewhat trust</t>
  </si>
  <si>
    <t>Neither trust or distrust</t>
  </si>
  <si>
    <t>Somewhat distrust</t>
  </si>
  <si>
    <t>Strongly distrust</t>
  </si>
  <si>
    <t>Grid Summary: To what extent, if at all, would you trust your personal digital data to be secure in the following circumstances?</t>
  </si>
  <si>
    <t>To what extent, if at all, would you trust your personal digital data to be secure in the following circumstances?: Hosted by your government</t>
  </si>
  <si>
    <t>To what extent, if at all, would you trust your personal digital data to be secure in the following circumstances?: Hosted in the on premises computers of a company from your country</t>
  </si>
  <si>
    <t>To what extent, if at all, would you trust your personal digital data to be secure in the following circumstances?: Hosted in a data centre in your country owned by an international company</t>
  </si>
  <si>
    <t>To what extent, if at all, would you trust your personal digital data to be secure in the following circumstances?: Hosted in a data centre in another country</t>
  </si>
  <si>
    <t>Having strong laws</t>
  </si>
  <si>
    <t>Using the best technology</t>
  </si>
  <si>
    <t>Ensuring your data doesn’t leave your country</t>
  </si>
  <si>
    <t>Education and advice on best practice</t>
  </si>
  <si>
    <t>Ensuring your data doesn’t leave Europe</t>
  </si>
  <si>
    <t>Storing your data with a European company</t>
  </si>
  <si>
    <t>What do you think is most important to keeping your data secure?Please select up to three</t>
  </si>
  <si>
    <t xml:space="preserve"> A data centre is a building or dedicated space used to house computer systems and servers. They are commonly used by companies that operate digital services to run their applications, store data and transfer information to and from their customers. How important or unimportant do you think it is for a provider of digital services to have a data centre hosted in your country, rather than elsewhere?</t>
  </si>
  <si>
    <t xml:space="preserve"> And how important or unimportant do you think it is for a provider of digital services to have a data centre hosted in Europe, even if it is not in your country?</t>
  </si>
  <si>
    <t>Strongly support</t>
  </si>
  <si>
    <t>Somewhat support</t>
  </si>
  <si>
    <t>Neither support or oppose</t>
  </si>
  <si>
    <t>Somewhat oppose</t>
  </si>
  <si>
    <t>Strongly oppose</t>
  </si>
  <si>
    <t>Total Support:</t>
  </si>
  <si>
    <t>Total Oppose:</t>
  </si>
  <si>
    <t xml:space="preserve"> Would you support or oppose the building of a new data centre by an international cloud provider in your local city or region?</t>
  </si>
  <si>
    <t>Full Results</t>
  </si>
  <si>
    <t>BASE: Respondents who work currently</t>
  </si>
  <si>
    <t xml:space="preserve"> How much time do you spend on an average working day working out to do something which you at first didn’t know how to do on the computer?For example, working out how to correctly format a file, share a link to a video call, or write a spreadshe...</t>
  </si>
  <si>
    <t>BASE: Respondents who are currently working</t>
  </si>
  <si>
    <t>BASE: Respondents with children under 18</t>
  </si>
  <si>
    <t>BASE: Respondents who currently work from home</t>
  </si>
  <si>
    <t>BASE: Repsondents who do hybrid working</t>
  </si>
  <si>
    <t>BASE: Respondents who used a government website or app for this</t>
  </si>
  <si>
    <t xml:space="preserve"> A data centre is a building or dedicated space used to house computer systems and servers. They are commonly used by companies that operate digital services to run their applications, store data and transfer information to and from their custome...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</si>
</sst>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rgb="FF000000"/>
      <name val="Calibri"/>
      <family val="2"/>
      <scheme val="minor"/>
    </font>
    <font>
      <b/>
      <sz val="18"/>
      <color rgb="FF000000"/>
      <name val="Calibri"/>
    </font>
    <font>
      <b/>
      <sz val="14"/>
      <color rgb="FF000000"/>
      <name val="Calibri"/>
    </font>
    <font>
      <sz val="14"/>
      <color rgb="FF000000"/>
      <name val="Calibri"/>
    </font>
    <font>
      <sz val="13"/>
      <color rgb="FF000000"/>
      <name val="Calibri"/>
    </font>
    <font>
      <i/>
      <sz val="13"/>
      <color rgb="FF000000"/>
      <name val="Calibri"/>
    </font>
    <font>
      <i/>
      <u/>
      <sz val="13"/>
      <color theme="10"/>
      <name val="Calibri"/>
    </font>
    <font>
      <b/>
      <sz val="11"/>
      <color rgb="FF000000"/>
      <name val="Calibri"/>
    </font>
    <font>
      <sz val="11"/>
      <color rgb="FF000000"/>
      <name val="Calibri"/>
    </font>
    <font>
      <u/>
      <sz val="11"/>
      <color theme="10"/>
      <name val="Calibri"/>
    </font>
    <font>
      <b/>
      <sz val="12"/>
      <color rgb="FF000000"/>
      <name val="Calibri"/>
    </font>
    <font>
      <b/>
      <i/>
      <sz val="11"/>
      <color rgb="FF000000"/>
      <name val="Calibri"/>
    </font>
    <font>
      <sz val="11"/>
      <color rgb="FF00B050"/>
      <name val="Calibri"/>
      <family val="2"/>
      <scheme val="minor"/>
    </font>
    <font>
      <b/>
      <sz val="11"/>
      <color rgb="FF00B050"/>
      <name val="Calibri"/>
      <family val="2"/>
    </font>
    <font>
      <b/>
      <i/>
      <sz val="11"/>
      <color rgb="FF000000"/>
      <name val="Calibri"/>
      <family val="2"/>
      <scheme val="minor"/>
    </font>
    <font>
      <sz val="11"/>
      <color rgb="FF000000"/>
      <name val="Calibri"/>
      <family val="2"/>
    </font>
  </fonts>
  <fills count="2">
    <fill>
      <patternFill patternType="none"/>
    </fill>
    <fill>
      <patternFill patternType="gray125"/>
    </fill>
  </fills>
  <borders count="5">
    <border>
      <left/>
      <right/>
      <top/>
      <bottom/>
      <diagonal/>
    </border>
    <border>
      <left/>
      <right/>
      <top style="thin">
        <color rgb="FF000000"/>
      </top>
      <bottom/>
      <diagonal/>
    </border>
    <border>
      <left/>
      <right/>
      <top/>
      <bottom style="thin">
        <color rgb="FF000000"/>
      </bottom>
      <diagonal/>
    </border>
    <border>
      <left/>
      <right/>
      <top style="thin">
        <color rgb="FF000000"/>
      </top>
      <bottom style="thin">
        <color rgb="FF000000"/>
      </bottom>
      <diagonal/>
    </border>
    <border>
      <left/>
      <right/>
      <top style="thin">
        <color indexed="64"/>
      </top>
      <bottom/>
      <diagonal/>
    </border>
  </borders>
  <cellStyleXfs count="1">
    <xf numFmtId="0" fontId="0" fillId="0" borderId="0"/>
  </cellStyleXfs>
  <cellXfs count="36">
    <xf numFmtId="0" fontId="0" fillId="0" borderId="0" xfId="0"/>
    <xf numFmtId="0" fontId="1" fillId="0" borderId="0" xfId="0" applyFont="1" applyAlignment="1">
      <alignment horizontal="center" vertical="top" wrapText="1"/>
    </xf>
    <xf numFmtId="0" fontId="2" fillId="0" borderId="0" xfId="0" applyFont="1"/>
    <xf numFmtId="0" fontId="3" fillId="0" borderId="0" xfId="0" applyFont="1" applyAlignment="1">
      <alignment horizontal="left"/>
    </xf>
    <xf numFmtId="0" fontId="5" fillId="0" borderId="0" xfId="0" applyFont="1" applyAlignment="1">
      <alignment horizontal="left" vertical="top"/>
    </xf>
    <xf numFmtId="0" fontId="6" fillId="0" borderId="0" xfId="0" applyFont="1" applyAlignment="1">
      <alignment horizontal="left" vertical="top"/>
    </xf>
    <xf numFmtId="0" fontId="7" fillId="0" borderId="0" xfId="0" applyFont="1"/>
    <xf numFmtId="0" fontId="8" fillId="0" borderId="0" xfId="0" applyFont="1" applyAlignment="1">
      <alignment horizontal="center"/>
    </xf>
    <xf numFmtId="0" fontId="9" fillId="0" borderId="0" xfId="0" applyFont="1"/>
    <xf numFmtId="0" fontId="8" fillId="0" borderId="0" xfId="0" applyFont="1" applyAlignment="1">
      <alignment horizontal="center" vertical="center"/>
    </xf>
    <xf numFmtId="1" fontId="8" fillId="0" borderId="1" xfId="0" applyNumberFormat="1" applyFont="1" applyBorder="1" applyAlignment="1">
      <alignment horizontal="center" vertical="center"/>
    </xf>
    <xf numFmtId="1" fontId="7" fillId="0" borderId="2" xfId="0" applyNumberFormat="1" applyFont="1" applyBorder="1" applyAlignment="1">
      <alignment horizontal="center" vertical="center"/>
    </xf>
    <xf numFmtId="0" fontId="8" fillId="0" borderId="1" xfId="0" applyFont="1" applyBorder="1" applyAlignment="1">
      <alignment horizontal="center" vertical="center" wrapText="1"/>
    </xf>
    <xf numFmtId="0" fontId="7" fillId="0" borderId="1" xfId="0" applyFont="1" applyBorder="1" applyAlignment="1">
      <alignment horizontal="center" vertical="center"/>
    </xf>
    <xf numFmtId="0" fontId="9" fillId="0" borderId="0" xfId="0" applyFont="1" applyAlignment="1">
      <alignment horizontal="center"/>
    </xf>
    <xf numFmtId="0" fontId="8" fillId="0" borderId="1" xfId="0" applyFont="1" applyBorder="1" applyAlignment="1">
      <alignment horizontal="center" vertical="center"/>
    </xf>
    <xf numFmtId="0" fontId="8" fillId="0" borderId="1" xfId="0" applyFont="1" applyBorder="1"/>
    <xf numFmtId="9" fontId="8" fillId="0" borderId="0" xfId="0" applyNumberFormat="1" applyFont="1" applyAlignment="1">
      <alignment horizontal="center" vertical="center"/>
    </xf>
    <xf numFmtId="0" fontId="8" fillId="0" borderId="0" xfId="0" applyFont="1" applyAlignment="1">
      <alignment horizontal="center" vertical="center" wrapText="1"/>
    </xf>
    <xf numFmtId="9" fontId="8" fillId="0" borderId="2" xfId="0" applyNumberFormat="1" applyFont="1" applyBorder="1" applyAlignment="1">
      <alignment horizontal="center" vertical="center"/>
    </xf>
    <xf numFmtId="0" fontId="8" fillId="0" borderId="3" xfId="0" applyFont="1" applyBorder="1" applyAlignment="1">
      <alignment horizontal="center" vertical="center" wrapText="1"/>
    </xf>
    <xf numFmtId="9" fontId="7" fillId="0" borderId="0" xfId="0" applyNumberFormat="1" applyFont="1" applyAlignment="1">
      <alignment horizontal="center" vertical="center"/>
    </xf>
    <xf numFmtId="9" fontId="7" fillId="0" borderId="2" xfId="0" applyNumberFormat="1" applyFont="1" applyBorder="1" applyAlignment="1">
      <alignment horizontal="center" vertical="center"/>
    </xf>
    <xf numFmtId="0" fontId="7" fillId="0" borderId="0" xfId="0" applyFont="1" applyAlignment="1">
      <alignment horizontal="center" wrapText="1"/>
    </xf>
    <xf numFmtId="0" fontId="11" fillId="0" borderId="0" xfId="0" applyFont="1"/>
    <xf numFmtId="0" fontId="1" fillId="0" borderId="0" xfId="0" applyFont="1" applyAlignment="1">
      <alignment horizontal="center" vertical="top" wrapText="1"/>
    </xf>
    <xf numFmtId="0" fontId="0" fillId="0" borderId="0" xfId="0"/>
    <xf numFmtId="0" fontId="4" fillId="0" borderId="0" xfId="0" applyFont="1" applyAlignment="1">
      <alignment horizontal="left" vertical="top" wrapText="1"/>
    </xf>
    <xf numFmtId="0" fontId="7" fillId="0" borderId="1" xfId="0" applyFont="1" applyBorder="1" applyAlignment="1">
      <alignment horizontal="center" vertical="center"/>
    </xf>
    <xf numFmtId="0" fontId="8" fillId="0" borderId="1" xfId="0" applyFont="1" applyBorder="1" applyAlignment="1">
      <alignment horizontal="center" vertical="center"/>
    </xf>
    <xf numFmtId="0" fontId="10" fillId="0" borderId="0" xfId="0" applyFont="1" applyAlignment="1">
      <alignment vertical="top" wrapText="1"/>
    </xf>
    <xf numFmtId="0" fontId="12" fillId="0" borderId="0" xfId="0" applyFont="1"/>
    <xf numFmtId="0" fontId="13" fillId="0" borderId="0" xfId="0" applyFont="1"/>
    <xf numFmtId="0" fontId="14" fillId="0" borderId="0" xfId="0" applyFont="1"/>
    <xf numFmtId="0" fontId="15" fillId="0" borderId="1" xfId="0" applyFont="1" applyBorder="1"/>
    <xf numFmtId="0" fontId="0" fillId="0" borderId="4" xfId="0"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openxmlformats.org/officeDocument/2006/relationships/worksheet" Target="worksheets/sheet133.xml"/><Relationship Id="rId138" Type="http://schemas.openxmlformats.org/officeDocument/2006/relationships/worksheet" Target="worksheets/sheet138.xml"/><Relationship Id="rId154" Type="http://schemas.openxmlformats.org/officeDocument/2006/relationships/worksheet" Target="worksheets/sheet154.xml"/><Relationship Id="rId159" Type="http://schemas.openxmlformats.org/officeDocument/2006/relationships/worksheet" Target="worksheets/sheet159.xml"/><Relationship Id="rId170" Type="http://schemas.openxmlformats.org/officeDocument/2006/relationships/worksheet" Target="worksheets/sheet170.xml"/><Relationship Id="rId16" Type="http://schemas.openxmlformats.org/officeDocument/2006/relationships/worksheet" Target="worksheets/sheet16.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28" Type="http://schemas.openxmlformats.org/officeDocument/2006/relationships/worksheet" Target="worksheets/sheet128.xml"/><Relationship Id="rId144" Type="http://schemas.openxmlformats.org/officeDocument/2006/relationships/worksheet" Target="worksheets/sheet144.xml"/><Relationship Id="rId149" Type="http://schemas.openxmlformats.org/officeDocument/2006/relationships/worksheet" Target="worksheets/sheet149.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160" Type="http://schemas.openxmlformats.org/officeDocument/2006/relationships/worksheet" Target="worksheets/sheet160.xml"/><Relationship Id="rId165" Type="http://schemas.openxmlformats.org/officeDocument/2006/relationships/worksheet" Target="worksheets/sheet16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113" Type="http://schemas.openxmlformats.org/officeDocument/2006/relationships/worksheet" Target="worksheets/sheet113.xml"/><Relationship Id="rId118" Type="http://schemas.openxmlformats.org/officeDocument/2006/relationships/worksheet" Target="worksheets/sheet118.xml"/><Relationship Id="rId134" Type="http://schemas.openxmlformats.org/officeDocument/2006/relationships/worksheet" Target="worksheets/sheet134.xml"/><Relationship Id="rId139" Type="http://schemas.openxmlformats.org/officeDocument/2006/relationships/worksheet" Target="worksheets/sheet139.xml"/><Relationship Id="rId80" Type="http://schemas.openxmlformats.org/officeDocument/2006/relationships/worksheet" Target="worksheets/sheet80.xml"/><Relationship Id="rId85" Type="http://schemas.openxmlformats.org/officeDocument/2006/relationships/worksheet" Target="worksheets/sheet85.xml"/><Relationship Id="rId150" Type="http://schemas.openxmlformats.org/officeDocument/2006/relationships/worksheet" Target="worksheets/sheet150.xml"/><Relationship Id="rId155" Type="http://schemas.openxmlformats.org/officeDocument/2006/relationships/worksheet" Target="worksheets/sheet155.xml"/><Relationship Id="rId171" Type="http://schemas.openxmlformats.org/officeDocument/2006/relationships/theme" Target="theme/theme1.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worksheet" Target="worksheets/sheet108.xml"/><Relationship Id="rId124" Type="http://schemas.openxmlformats.org/officeDocument/2006/relationships/worksheet" Target="worksheets/sheet124.xml"/><Relationship Id="rId129" Type="http://schemas.openxmlformats.org/officeDocument/2006/relationships/worksheet" Target="worksheets/sheet129.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40" Type="http://schemas.openxmlformats.org/officeDocument/2006/relationships/worksheet" Target="worksheets/sheet140.xml"/><Relationship Id="rId145" Type="http://schemas.openxmlformats.org/officeDocument/2006/relationships/worksheet" Target="worksheets/sheet145.xml"/><Relationship Id="rId161" Type="http://schemas.openxmlformats.org/officeDocument/2006/relationships/worksheet" Target="worksheets/sheet161.xml"/><Relationship Id="rId166" Type="http://schemas.openxmlformats.org/officeDocument/2006/relationships/worksheet" Target="worksheets/sheet166.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6" Type="http://schemas.openxmlformats.org/officeDocument/2006/relationships/worksheet" Target="worksheets/sheet106.xml"/><Relationship Id="rId114" Type="http://schemas.openxmlformats.org/officeDocument/2006/relationships/worksheet" Target="worksheets/sheet114.xml"/><Relationship Id="rId119" Type="http://schemas.openxmlformats.org/officeDocument/2006/relationships/worksheet" Target="worksheets/sheet119.xml"/><Relationship Id="rId127" Type="http://schemas.openxmlformats.org/officeDocument/2006/relationships/worksheet" Target="worksheets/sheet12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130" Type="http://schemas.openxmlformats.org/officeDocument/2006/relationships/worksheet" Target="worksheets/sheet130.xml"/><Relationship Id="rId135" Type="http://schemas.openxmlformats.org/officeDocument/2006/relationships/worksheet" Target="worksheets/sheet135.xml"/><Relationship Id="rId143" Type="http://schemas.openxmlformats.org/officeDocument/2006/relationships/worksheet" Target="worksheets/sheet143.xml"/><Relationship Id="rId148" Type="http://schemas.openxmlformats.org/officeDocument/2006/relationships/worksheet" Target="worksheets/sheet148.xml"/><Relationship Id="rId151" Type="http://schemas.openxmlformats.org/officeDocument/2006/relationships/worksheet" Target="worksheets/sheet151.xml"/><Relationship Id="rId156" Type="http://schemas.openxmlformats.org/officeDocument/2006/relationships/worksheet" Target="worksheets/sheet156.xml"/><Relationship Id="rId164" Type="http://schemas.openxmlformats.org/officeDocument/2006/relationships/worksheet" Target="worksheets/sheet164.xml"/><Relationship Id="rId169" Type="http://schemas.openxmlformats.org/officeDocument/2006/relationships/worksheet" Target="worksheets/sheet169.xml"/><Relationship Id="rId4" Type="http://schemas.openxmlformats.org/officeDocument/2006/relationships/worksheet" Target="worksheets/sheet4.xml"/><Relationship Id="rId9" Type="http://schemas.openxmlformats.org/officeDocument/2006/relationships/worksheet" Target="worksheets/sheet9.xml"/><Relationship Id="rId172" Type="http://schemas.openxmlformats.org/officeDocument/2006/relationships/styles" Target="styles.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worksheet" Target="worksheets/sheet120.xml"/><Relationship Id="rId125" Type="http://schemas.openxmlformats.org/officeDocument/2006/relationships/worksheet" Target="worksheets/sheet125.xml"/><Relationship Id="rId141" Type="http://schemas.openxmlformats.org/officeDocument/2006/relationships/worksheet" Target="worksheets/sheet141.xml"/><Relationship Id="rId146" Type="http://schemas.openxmlformats.org/officeDocument/2006/relationships/worksheet" Target="worksheets/sheet146.xml"/><Relationship Id="rId167" Type="http://schemas.openxmlformats.org/officeDocument/2006/relationships/worksheet" Target="worksheets/sheet167.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162" Type="http://schemas.openxmlformats.org/officeDocument/2006/relationships/worksheet" Target="worksheets/sheet16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131" Type="http://schemas.openxmlformats.org/officeDocument/2006/relationships/worksheet" Target="worksheets/sheet131.xml"/><Relationship Id="rId136" Type="http://schemas.openxmlformats.org/officeDocument/2006/relationships/worksheet" Target="worksheets/sheet136.xml"/><Relationship Id="rId157" Type="http://schemas.openxmlformats.org/officeDocument/2006/relationships/worksheet" Target="worksheets/sheet157.xml"/><Relationship Id="rId61" Type="http://schemas.openxmlformats.org/officeDocument/2006/relationships/worksheet" Target="worksheets/sheet61.xml"/><Relationship Id="rId82" Type="http://schemas.openxmlformats.org/officeDocument/2006/relationships/worksheet" Target="worksheets/sheet82.xml"/><Relationship Id="rId152" Type="http://schemas.openxmlformats.org/officeDocument/2006/relationships/worksheet" Target="worksheets/sheet152.xml"/><Relationship Id="rId173" Type="http://schemas.openxmlformats.org/officeDocument/2006/relationships/sharedStrings" Target="sharedStrings.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26" Type="http://schemas.openxmlformats.org/officeDocument/2006/relationships/worksheet" Target="worksheets/sheet126.xml"/><Relationship Id="rId147" Type="http://schemas.openxmlformats.org/officeDocument/2006/relationships/worksheet" Target="worksheets/sheet147.xml"/><Relationship Id="rId168" Type="http://schemas.openxmlformats.org/officeDocument/2006/relationships/worksheet" Target="worksheets/sheet168.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142" Type="http://schemas.openxmlformats.org/officeDocument/2006/relationships/worksheet" Target="worksheets/sheet142.xml"/><Relationship Id="rId163" Type="http://schemas.openxmlformats.org/officeDocument/2006/relationships/worksheet" Target="worksheets/sheet163.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137" Type="http://schemas.openxmlformats.org/officeDocument/2006/relationships/worksheet" Target="worksheets/sheet137.xml"/><Relationship Id="rId158" Type="http://schemas.openxmlformats.org/officeDocument/2006/relationships/worksheet" Target="worksheets/sheet158.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32" Type="http://schemas.openxmlformats.org/officeDocument/2006/relationships/worksheet" Target="worksheets/sheet132.xml"/><Relationship Id="rId153" Type="http://schemas.openxmlformats.org/officeDocument/2006/relationships/worksheet" Target="worksheets/sheet153.xml"/><Relationship Id="rId17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9.xml.rels><?xml version="1.0" encoding="UTF-8" standalone="yes"?>
<Relationships xmlns="http://schemas.openxmlformats.org/package/2006/relationships"><Relationship Id="rId1" Type="http://schemas.openxmlformats.org/officeDocument/2006/relationships/image" Target="../media/image1.jpg"/></Relationships>
</file>

<file path=xl/drawings/_rels/drawing20.xml.rels><?xml version="1.0" encoding="UTF-8" standalone="yes"?>
<Relationships xmlns="http://schemas.openxmlformats.org/package/2006/relationships"><Relationship Id="rId1" Type="http://schemas.openxmlformats.org/officeDocument/2006/relationships/image" Target="../media/image1.jpg"/></Relationships>
</file>

<file path=xl/drawings/_rels/drawing2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2.xml.rels><?xml version="1.0" encoding="UTF-8" standalone="yes"?>
<Relationships xmlns="http://schemas.openxmlformats.org/package/2006/relationships"><Relationship Id="rId1" Type="http://schemas.openxmlformats.org/officeDocument/2006/relationships/image" Target="../media/image1.jpg"/></Relationships>
</file>

<file path=xl/drawings/_rels/drawing23.xml.rels><?xml version="1.0" encoding="UTF-8" standalone="yes"?>
<Relationships xmlns="http://schemas.openxmlformats.org/package/2006/relationships"><Relationship Id="rId1" Type="http://schemas.openxmlformats.org/officeDocument/2006/relationships/image" Target="../media/image1.jpg"/></Relationships>
</file>

<file path=xl/drawings/_rels/drawing24.xml.rels><?xml version="1.0" encoding="UTF-8" standalone="yes"?>
<Relationships xmlns="http://schemas.openxmlformats.org/package/2006/relationships"><Relationship Id="rId1" Type="http://schemas.openxmlformats.org/officeDocument/2006/relationships/image" Target="../media/image1.jpg"/></Relationships>
</file>

<file path=xl/drawings/_rels/drawing25.xml.rels><?xml version="1.0" encoding="UTF-8" standalone="yes"?>
<Relationships xmlns="http://schemas.openxmlformats.org/package/2006/relationships"><Relationship Id="rId1" Type="http://schemas.openxmlformats.org/officeDocument/2006/relationships/image" Target="../media/image1.jpg"/></Relationships>
</file>

<file path=xl/drawings/_rels/drawing26.xml.rels><?xml version="1.0" encoding="UTF-8" standalone="yes"?>
<Relationships xmlns="http://schemas.openxmlformats.org/package/2006/relationships"><Relationship Id="rId1" Type="http://schemas.openxmlformats.org/officeDocument/2006/relationships/image" Target="../media/image1.jpg"/></Relationships>
</file>

<file path=xl/drawings/_rels/drawing27.xml.rels><?xml version="1.0" encoding="UTF-8" standalone="yes"?>
<Relationships xmlns="http://schemas.openxmlformats.org/package/2006/relationships"><Relationship Id="rId1" Type="http://schemas.openxmlformats.org/officeDocument/2006/relationships/image" Target="../media/image1.jpg"/></Relationships>
</file>

<file path=xl/drawings/_rels/drawing28.xml.rels><?xml version="1.0" encoding="UTF-8" standalone="yes"?>
<Relationships xmlns="http://schemas.openxmlformats.org/package/2006/relationships"><Relationship Id="rId1" Type="http://schemas.openxmlformats.org/officeDocument/2006/relationships/image" Target="../media/image1.jpg"/></Relationships>
</file>

<file path=xl/drawings/_rels/drawing29.xml.rels><?xml version="1.0" encoding="UTF-8" standalone="yes"?>
<Relationships xmlns="http://schemas.openxmlformats.org/package/2006/relationships"><Relationship Id="rId1" Type="http://schemas.openxmlformats.org/officeDocument/2006/relationships/image" Target="../media/image1.jpg"/></Relationships>
</file>

<file path=xl/drawings/_rels/drawing30.xml.rels><?xml version="1.0" encoding="UTF-8" standalone="yes"?>
<Relationships xmlns="http://schemas.openxmlformats.org/package/2006/relationships"><Relationship Id="rId1" Type="http://schemas.openxmlformats.org/officeDocument/2006/relationships/image" Target="../media/image1.jpg"/></Relationships>
</file>

<file path=xl/drawings/_rels/drawing31.xml.rels><?xml version="1.0" encoding="UTF-8" standalone="yes"?>
<Relationships xmlns="http://schemas.openxmlformats.org/package/2006/relationships"><Relationship Id="rId1" Type="http://schemas.openxmlformats.org/officeDocument/2006/relationships/image" Target="../media/image1.jpg"/></Relationships>
</file>

<file path=xl/drawings/_rels/drawing3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3.xml.rels><?xml version="1.0" encoding="UTF-8" standalone="yes"?>
<Relationships xmlns="http://schemas.openxmlformats.org/package/2006/relationships"><Relationship Id="rId1" Type="http://schemas.openxmlformats.org/officeDocument/2006/relationships/image" Target="../media/image1.jpg"/></Relationships>
</file>

<file path=xl/drawings/_rels/drawing34.xml.rels><?xml version="1.0" encoding="UTF-8" standalone="yes"?>
<Relationships xmlns="http://schemas.openxmlformats.org/package/2006/relationships"><Relationship Id="rId1" Type="http://schemas.openxmlformats.org/officeDocument/2006/relationships/image" Target="../media/image1.jpg"/></Relationships>
</file>

<file path=xl/drawings/_rels/drawing35.xml.rels><?xml version="1.0" encoding="UTF-8" standalone="yes"?>
<Relationships xmlns="http://schemas.openxmlformats.org/package/2006/relationships"><Relationship Id="rId1" Type="http://schemas.openxmlformats.org/officeDocument/2006/relationships/image" Target="../media/image1.jpg"/></Relationships>
</file>

<file path=xl/drawings/_rels/drawing36.xml.rels><?xml version="1.0" encoding="UTF-8" standalone="yes"?>
<Relationships xmlns="http://schemas.openxmlformats.org/package/2006/relationships"><Relationship Id="rId1" Type="http://schemas.openxmlformats.org/officeDocument/2006/relationships/image" Target="../media/image1.jpg"/></Relationships>
</file>

<file path=xl/drawings/_rels/drawing37.xml.rels><?xml version="1.0" encoding="UTF-8" standalone="yes"?>
<Relationships xmlns="http://schemas.openxmlformats.org/package/2006/relationships"><Relationship Id="rId1" Type="http://schemas.openxmlformats.org/officeDocument/2006/relationships/image" Target="../media/image1.jpg"/></Relationships>
</file>

<file path=xl/drawings/_rels/drawing38.xml.rels><?xml version="1.0" encoding="UTF-8" standalone="yes"?>
<Relationships xmlns="http://schemas.openxmlformats.org/package/2006/relationships"><Relationship Id="rId1" Type="http://schemas.openxmlformats.org/officeDocument/2006/relationships/image" Target="../media/image1.jpg"/></Relationships>
</file>

<file path=xl/drawings/_rels/drawing39.xml.rels><?xml version="1.0" encoding="UTF-8" standalone="yes"?>
<Relationships xmlns="http://schemas.openxmlformats.org/package/2006/relationships"><Relationship Id="rId1" Type="http://schemas.openxmlformats.org/officeDocument/2006/relationships/image" Target="../media/image1.jpg"/></Relationships>
</file>

<file path=xl/drawings/_rels/drawing40.xml.rels><?xml version="1.0" encoding="UTF-8" standalone="yes"?>
<Relationships xmlns="http://schemas.openxmlformats.org/package/2006/relationships"><Relationship Id="rId1" Type="http://schemas.openxmlformats.org/officeDocument/2006/relationships/image" Target="../media/image1.jpg"/></Relationships>
</file>

<file path=xl/drawings/_rels/drawing41.xml.rels><?xml version="1.0" encoding="UTF-8" standalone="yes"?>
<Relationships xmlns="http://schemas.openxmlformats.org/package/2006/relationships"><Relationship Id="rId1" Type="http://schemas.openxmlformats.org/officeDocument/2006/relationships/image" Target="../media/image1.jpg"/></Relationships>
</file>

<file path=xl/drawings/_rels/drawing42.xml.rels><?xml version="1.0" encoding="UTF-8" standalone="yes"?>
<Relationships xmlns="http://schemas.openxmlformats.org/package/2006/relationships"><Relationship Id="rId1" Type="http://schemas.openxmlformats.org/officeDocument/2006/relationships/image" Target="../media/image1.jpg"/></Relationships>
</file>

<file path=xl/drawings/_rels/drawing4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4.xml.rels><?xml version="1.0" encoding="UTF-8" standalone="yes"?>
<Relationships xmlns="http://schemas.openxmlformats.org/package/2006/relationships"><Relationship Id="rId1" Type="http://schemas.openxmlformats.org/officeDocument/2006/relationships/image" Target="../media/image1.jpg"/></Relationships>
</file>

<file path=xl/drawings/_rels/drawing45.xml.rels><?xml version="1.0" encoding="UTF-8" standalone="yes"?>
<Relationships xmlns="http://schemas.openxmlformats.org/package/2006/relationships"><Relationship Id="rId1" Type="http://schemas.openxmlformats.org/officeDocument/2006/relationships/image" Target="../media/image1.jpg"/></Relationships>
</file>

<file path=xl/drawings/_rels/drawing46.xml.rels><?xml version="1.0" encoding="UTF-8" standalone="yes"?>
<Relationships xmlns="http://schemas.openxmlformats.org/package/2006/relationships"><Relationship Id="rId1" Type="http://schemas.openxmlformats.org/officeDocument/2006/relationships/image" Target="../media/image1.jpg"/></Relationships>
</file>

<file path=xl/drawings/_rels/drawing47.xml.rels><?xml version="1.0" encoding="UTF-8" standalone="yes"?>
<Relationships xmlns="http://schemas.openxmlformats.org/package/2006/relationships"><Relationship Id="rId1" Type="http://schemas.openxmlformats.org/officeDocument/2006/relationships/image" Target="../media/image1.jpg"/></Relationships>
</file>

<file path=xl/drawings/_rels/drawing48.xml.rels><?xml version="1.0" encoding="UTF-8" standalone="yes"?>
<Relationships xmlns="http://schemas.openxmlformats.org/package/2006/relationships"><Relationship Id="rId1" Type="http://schemas.openxmlformats.org/officeDocument/2006/relationships/image" Target="../media/image1.jpg"/></Relationships>
</file>

<file path=xl/drawings/_rels/drawing49.xml.rels><?xml version="1.0" encoding="UTF-8" standalone="yes"?>
<Relationships xmlns="http://schemas.openxmlformats.org/package/2006/relationships"><Relationship Id="rId1" Type="http://schemas.openxmlformats.org/officeDocument/2006/relationships/image" Target="../media/image1.jpg"/></Relationships>
</file>

<file path=xl/drawings/_rels/drawing50.xml.rels><?xml version="1.0" encoding="UTF-8" standalone="yes"?>
<Relationships xmlns="http://schemas.openxmlformats.org/package/2006/relationships"><Relationship Id="rId1" Type="http://schemas.openxmlformats.org/officeDocument/2006/relationships/image" Target="../media/image1.jpg"/></Relationships>
</file>

<file path=xl/drawings/_rels/drawing51.xml.rels><?xml version="1.0" encoding="UTF-8" standalone="yes"?>
<Relationships xmlns="http://schemas.openxmlformats.org/package/2006/relationships"><Relationship Id="rId1" Type="http://schemas.openxmlformats.org/officeDocument/2006/relationships/image" Target="../media/image1.jpg"/></Relationships>
</file>

<file path=xl/drawings/_rels/drawing52.xml.rels><?xml version="1.0" encoding="UTF-8" standalone="yes"?>
<Relationships xmlns="http://schemas.openxmlformats.org/package/2006/relationships"><Relationship Id="rId1" Type="http://schemas.openxmlformats.org/officeDocument/2006/relationships/image" Target="../media/image1.jpg"/></Relationships>
</file>

<file path=xl/drawings/_rels/drawing53.xml.rels><?xml version="1.0" encoding="UTF-8" standalone="yes"?>
<Relationships xmlns="http://schemas.openxmlformats.org/package/2006/relationships"><Relationship Id="rId1" Type="http://schemas.openxmlformats.org/officeDocument/2006/relationships/image" Target="../media/image1.jpg"/></Relationships>
</file>

<file path=xl/drawings/_rels/drawing5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5.xml.rels><?xml version="1.0" encoding="UTF-8" standalone="yes"?>
<Relationships xmlns="http://schemas.openxmlformats.org/package/2006/relationships"><Relationship Id="rId1" Type="http://schemas.openxmlformats.org/officeDocument/2006/relationships/image" Target="../media/image1.jpg"/></Relationships>
</file>

<file path=xl/drawings/_rels/drawing56.xml.rels><?xml version="1.0" encoding="UTF-8" standalone="yes"?>
<Relationships xmlns="http://schemas.openxmlformats.org/package/2006/relationships"><Relationship Id="rId1" Type="http://schemas.openxmlformats.org/officeDocument/2006/relationships/image" Target="../media/image1.jpg"/></Relationships>
</file>

<file path=xl/drawings/_rels/drawing57.xml.rels><?xml version="1.0" encoding="UTF-8" standalone="yes"?>
<Relationships xmlns="http://schemas.openxmlformats.org/package/2006/relationships"><Relationship Id="rId1" Type="http://schemas.openxmlformats.org/officeDocument/2006/relationships/image" Target="../media/image1.jpg"/></Relationships>
</file>

<file path=xl/drawings/_rels/drawing58.xml.rels><?xml version="1.0" encoding="UTF-8" standalone="yes"?>
<Relationships xmlns="http://schemas.openxmlformats.org/package/2006/relationships"><Relationship Id="rId1" Type="http://schemas.openxmlformats.org/officeDocument/2006/relationships/image" Target="../media/image1.jpg"/></Relationships>
</file>

<file path=xl/drawings/_rels/drawing59.xml.rels><?xml version="1.0" encoding="UTF-8" standalone="yes"?>
<Relationships xmlns="http://schemas.openxmlformats.org/package/2006/relationships"><Relationship Id="rId1" Type="http://schemas.openxmlformats.org/officeDocument/2006/relationships/image" Target="../media/image1.jpg"/></Relationships>
</file>

<file path=xl/drawings/_rels/drawing60.xml.rels><?xml version="1.0" encoding="UTF-8" standalone="yes"?>
<Relationships xmlns="http://schemas.openxmlformats.org/package/2006/relationships"><Relationship Id="rId1" Type="http://schemas.openxmlformats.org/officeDocument/2006/relationships/image" Target="../media/image1.jpg"/></Relationships>
</file>

<file path=xl/drawings/_rels/drawing61.xml.rels><?xml version="1.0" encoding="UTF-8" standalone="yes"?>
<Relationships xmlns="http://schemas.openxmlformats.org/package/2006/relationships"><Relationship Id="rId1" Type="http://schemas.openxmlformats.org/officeDocument/2006/relationships/image" Target="../media/image1.jpg"/></Relationships>
</file>

<file path=xl/drawings/_rels/drawing62.xml.rels><?xml version="1.0" encoding="UTF-8" standalone="yes"?>
<Relationships xmlns="http://schemas.openxmlformats.org/package/2006/relationships"><Relationship Id="rId1" Type="http://schemas.openxmlformats.org/officeDocument/2006/relationships/image" Target="../media/image1.jpg"/></Relationships>
</file>

<file path=xl/drawings/_rels/drawing63.xml.rels><?xml version="1.0" encoding="UTF-8" standalone="yes"?>
<Relationships xmlns="http://schemas.openxmlformats.org/package/2006/relationships"><Relationship Id="rId1" Type="http://schemas.openxmlformats.org/officeDocument/2006/relationships/image" Target="../media/image1.jpg"/></Relationships>
</file>

<file path=xl/drawings/_rels/drawing64.xml.rels><?xml version="1.0" encoding="UTF-8" standalone="yes"?>
<Relationships xmlns="http://schemas.openxmlformats.org/package/2006/relationships"><Relationship Id="rId1" Type="http://schemas.openxmlformats.org/officeDocument/2006/relationships/image" Target="../media/image1.jpg"/></Relationships>
</file>

<file path=xl/drawings/_rels/drawing6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6.xml.rels><?xml version="1.0" encoding="UTF-8" standalone="yes"?>
<Relationships xmlns="http://schemas.openxmlformats.org/package/2006/relationships"><Relationship Id="rId1" Type="http://schemas.openxmlformats.org/officeDocument/2006/relationships/image" Target="../media/image1.jpg"/></Relationships>
</file>

<file path=xl/drawings/_rels/drawing67.xml.rels><?xml version="1.0" encoding="UTF-8" standalone="yes"?>
<Relationships xmlns="http://schemas.openxmlformats.org/package/2006/relationships"><Relationship Id="rId1" Type="http://schemas.openxmlformats.org/officeDocument/2006/relationships/image" Target="../media/image1.jpg"/></Relationships>
</file>

<file path=xl/drawings/_rels/drawing68.xml.rels><?xml version="1.0" encoding="UTF-8" standalone="yes"?>
<Relationships xmlns="http://schemas.openxmlformats.org/package/2006/relationships"><Relationship Id="rId1" Type="http://schemas.openxmlformats.org/officeDocument/2006/relationships/image" Target="../media/image1.jpg"/></Relationships>
</file>

<file path=xl/drawings/_rels/drawing69.xml.rels><?xml version="1.0" encoding="UTF-8" standalone="yes"?>
<Relationships xmlns="http://schemas.openxmlformats.org/package/2006/relationships"><Relationship Id="rId1" Type="http://schemas.openxmlformats.org/officeDocument/2006/relationships/image" Target="../media/image1.jpg"/></Relationships>
</file>

<file path=xl/drawings/_rels/drawing70.xml.rels><?xml version="1.0" encoding="UTF-8" standalone="yes"?>
<Relationships xmlns="http://schemas.openxmlformats.org/package/2006/relationships"><Relationship Id="rId1" Type="http://schemas.openxmlformats.org/officeDocument/2006/relationships/image" Target="../media/image1.jpg"/></Relationships>
</file>

<file path=xl/drawings/_rels/drawing71.xml.rels><?xml version="1.0" encoding="UTF-8" standalone="yes"?>
<Relationships xmlns="http://schemas.openxmlformats.org/package/2006/relationships"><Relationship Id="rId1" Type="http://schemas.openxmlformats.org/officeDocument/2006/relationships/image" Target="../media/image1.jpg"/></Relationships>
</file>

<file path=xl/drawings/_rels/drawing72.xml.rels><?xml version="1.0" encoding="UTF-8" standalone="yes"?>
<Relationships xmlns="http://schemas.openxmlformats.org/package/2006/relationships"><Relationship Id="rId1" Type="http://schemas.openxmlformats.org/officeDocument/2006/relationships/image" Target="../media/image1.jpg"/></Relationships>
</file>

<file path=xl/drawings/_rels/drawing73.xml.rels><?xml version="1.0" encoding="UTF-8" standalone="yes"?>
<Relationships xmlns="http://schemas.openxmlformats.org/package/2006/relationships"><Relationship Id="rId1" Type="http://schemas.openxmlformats.org/officeDocument/2006/relationships/image" Target="../media/image1.jpg"/></Relationships>
</file>

<file path=xl/drawings/_rels/drawing74.xml.rels><?xml version="1.0" encoding="UTF-8" standalone="yes"?>
<Relationships xmlns="http://schemas.openxmlformats.org/package/2006/relationships"><Relationship Id="rId1" Type="http://schemas.openxmlformats.org/officeDocument/2006/relationships/image" Target="../media/image1.jpg"/></Relationships>
</file>

<file path=xl/drawings/_rels/drawing75.xml.rels><?xml version="1.0" encoding="UTF-8" standalone="yes"?>
<Relationships xmlns="http://schemas.openxmlformats.org/package/2006/relationships"><Relationship Id="rId1" Type="http://schemas.openxmlformats.org/officeDocument/2006/relationships/image" Target="../media/image1.jpg"/></Relationships>
</file>

<file path=xl/drawings/_rels/drawing7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7.xml.rels><?xml version="1.0" encoding="UTF-8" standalone="yes"?>
<Relationships xmlns="http://schemas.openxmlformats.org/package/2006/relationships"><Relationship Id="rId1" Type="http://schemas.openxmlformats.org/officeDocument/2006/relationships/image" Target="../media/image1.jpg"/></Relationships>
</file>

<file path=xl/drawings/_rels/drawing78.xml.rels><?xml version="1.0" encoding="UTF-8" standalone="yes"?>
<Relationships xmlns="http://schemas.openxmlformats.org/package/2006/relationships"><Relationship Id="rId1" Type="http://schemas.openxmlformats.org/officeDocument/2006/relationships/image" Target="../media/image1.jpg"/></Relationships>
</file>

<file path=xl/drawings/_rels/drawing79.xml.rels><?xml version="1.0" encoding="UTF-8" standalone="yes"?>
<Relationships xmlns="http://schemas.openxmlformats.org/package/2006/relationships"><Relationship Id="rId1" Type="http://schemas.openxmlformats.org/officeDocument/2006/relationships/image" Target="../media/image1.jpg"/></Relationships>
</file>

<file path=xl/drawings/_rels/drawing80.xml.rels><?xml version="1.0" encoding="UTF-8" standalone="yes"?>
<Relationships xmlns="http://schemas.openxmlformats.org/package/2006/relationships"><Relationship Id="rId1" Type="http://schemas.openxmlformats.org/officeDocument/2006/relationships/image" Target="../media/image1.jpg"/></Relationships>
</file>

<file path=xl/drawings/_rels/drawing81.xml.rels><?xml version="1.0" encoding="UTF-8" standalone="yes"?>
<Relationships xmlns="http://schemas.openxmlformats.org/package/2006/relationships"><Relationship Id="rId1" Type="http://schemas.openxmlformats.org/officeDocument/2006/relationships/image" Target="../media/image1.jpg"/></Relationships>
</file>

<file path=xl/drawings/_rels/drawing82.xml.rels><?xml version="1.0" encoding="UTF-8" standalone="yes"?>
<Relationships xmlns="http://schemas.openxmlformats.org/package/2006/relationships"><Relationship Id="rId1" Type="http://schemas.openxmlformats.org/officeDocument/2006/relationships/image" Target="../media/image1.jpg"/></Relationships>
</file>

<file path=xl/drawings/_rels/drawing83.xml.rels><?xml version="1.0" encoding="UTF-8" standalone="yes"?>
<Relationships xmlns="http://schemas.openxmlformats.org/package/2006/relationships"><Relationship Id="rId1" Type="http://schemas.openxmlformats.org/officeDocument/2006/relationships/image" Target="../media/image1.jpg"/></Relationships>
</file>

<file path=xl/drawings/_rels/drawing84.xml.rels><?xml version="1.0" encoding="UTF-8" standalone="yes"?>
<Relationships xmlns="http://schemas.openxmlformats.org/package/2006/relationships"><Relationship Id="rId1" Type="http://schemas.openxmlformats.org/officeDocument/2006/relationships/image" Target="../media/image1.jpg"/></Relationships>
</file>

<file path=xl/drawings/_rels/drawing85.xml.rels><?xml version="1.0" encoding="UTF-8" standalone="yes"?>
<Relationships xmlns="http://schemas.openxmlformats.org/package/2006/relationships"><Relationship Id="rId1" Type="http://schemas.openxmlformats.org/officeDocument/2006/relationships/image" Target="../media/image1.jpg"/></Relationships>
</file>

<file path=xl/drawings/_rels/drawing86.xml.rels><?xml version="1.0" encoding="UTF-8" standalone="yes"?>
<Relationships xmlns="http://schemas.openxmlformats.org/package/2006/relationships"><Relationship Id="rId1" Type="http://schemas.openxmlformats.org/officeDocument/2006/relationships/image" Target="../media/image1.jpg"/></Relationships>
</file>

<file path=xl/drawings/_rels/drawing8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8.xml.rels><?xml version="1.0" encoding="UTF-8" standalone="yes"?>
<Relationships xmlns="http://schemas.openxmlformats.org/package/2006/relationships"><Relationship Id="rId1" Type="http://schemas.openxmlformats.org/officeDocument/2006/relationships/image" Target="../media/image1.jpg"/></Relationships>
</file>

<file path=xl/drawings/_rels/drawing89.xml.rels><?xml version="1.0" encoding="UTF-8" standalone="yes"?>
<Relationships xmlns="http://schemas.openxmlformats.org/package/2006/relationships"><Relationship Id="rId1" Type="http://schemas.openxmlformats.org/officeDocument/2006/relationships/image" Target="../media/image1.jpg"/></Relationships>
</file>

<file path=xl/drawings/_rels/drawing90.xml.rels><?xml version="1.0" encoding="UTF-8" standalone="yes"?>
<Relationships xmlns="http://schemas.openxmlformats.org/package/2006/relationships"><Relationship Id="rId1" Type="http://schemas.openxmlformats.org/officeDocument/2006/relationships/image" Target="../media/image1.jpg"/></Relationships>
</file>

<file path=xl/drawings/_rels/drawing91.xml.rels><?xml version="1.0" encoding="UTF-8" standalone="yes"?>
<Relationships xmlns="http://schemas.openxmlformats.org/package/2006/relationships"><Relationship Id="rId1" Type="http://schemas.openxmlformats.org/officeDocument/2006/relationships/image" Target="../media/image1.jpg"/></Relationships>
</file>

<file path=xl/drawings/_rels/drawing92.xml.rels><?xml version="1.0" encoding="UTF-8" standalone="yes"?>
<Relationships xmlns="http://schemas.openxmlformats.org/package/2006/relationships"><Relationship Id="rId1" Type="http://schemas.openxmlformats.org/officeDocument/2006/relationships/image" Target="../media/image1.jpg"/></Relationships>
</file>

<file path=xl/drawings/_rels/drawing93.xml.rels><?xml version="1.0" encoding="UTF-8" standalone="yes"?>
<Relationships xmlns="http://schemas.openxmlformats.org/package/2006/relationships"><Relationship Id="rId1" Type="http://schemas.openxmlformats.org/officeDocument/2006/relationships/image" Target="../media/image1.jpg"/></Relationships>
</file>

<file path=xl/drawings/_rels/drawing94.xml.rels><?xml version="1.0" encoding="UTF-8" standalone="yes"?>
<Relationships xmlns="http://schemas.openxmlformats.org/package/2006/relationships"><Relationship Id="rId1" Type="http://schemas.openxmlformats.org/officeDocument/2006/relationships/image" Target="../media/image1.jpg"/></Relationships>
</file>

<file path=xl/drawings/_rels/drawing95.xml.rels><?xml version="1.0" encoding="UTF-8" standalone="yes"?>
<Relationships xmlns="http://schemas.openxmlformats.org/package/2006/relationships"><Relationship Id="rId1" Type="http://schemas.openxmlformats.org/officeDocument/2006/relationships/image" Target="../media/image1.jpg"/></Relationships>
</file>

<file path=xl/drawings/_rels/drawing96.xml.rels><?xml version="1.0" encoding="UTF-8" standalone="yes"?>
<Relationships xmlns="http://schemas.openxmlformats.org/package/2006/relationships"><Relationship Id="rId1" Type="http://schemas.openxmlformats.org/officeDocument/2006/relationships/image" Target="../media/image1.jpg"/></Relationships>
</file>

<file path=xl/drawings/_rels/drawing97.xml.rels><?xml version="1.0" encoding="UTF-8" standalone="yes"?>
<Relationships xmlns="http://schemas.openxmlformats.org/package/2006/relationships"><Relationship Id="rId1" Type="http://schemas.openxmlformats.org/officeDocument/2006/relationships/image" Target="../media/image1.jpg"/></Relationships>
</file>

<file path=xl/drawings/_rels/drawing9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9.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5</xdr:col>
      <xdr:colOff>0</xdr:colOff>
      <xdr:row>1</xdr:row>
      <xdr:rowOff>0</xdr:rowOff>
    </xdr:from>
    <xdr:ext cx="4389120" cy="822960"/>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32.xml"/></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3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35.xml"/></Relationships>
</file>

<file path=xl/worksheets/_rels/sheet37.xml.rels><?xml version="1.0" encoding="UTF-8" standalone="yes"?>
<Relationships xmlns="http://schemas.openxmlformats.org/package/2006/relationships"><Relationship Id="rId1" Type="http://schemas.openxmlformats.org/officeDocument/2006/relationships/drawing" Target="../drawings/drawing36.xml"/></Relationships>
</file>

<file path=xl/worksheets/_rels/sheet38.xml.rels><?xml version="1.0" encoding="UTF-8" standalone="yes"?>
<Relationships xmlns="http://schemas.openxmlformats.org/package/2006/relationships"><Relationship Id="rId1" Type="http://schemas.openxmlformats.org/officeDocument/2006/relationships/drawing" Target="../drawings/drawing37.xml"/></Relationships>
</file>

<file path=xl/worksheets/_rels/sheet39.xml.rels><?xml version="1.0" encoding="UTF-8" standalone="yes"?>
<Relationships xmlns="http://schemas.openxmlformats.org/package/2006/relationships"><Relationship Id="rId1" Type="http://schemas.openxmlformats.org/officeDocument/2006/relationships/drawing" Target="../drawings/drawing38.xml"/></Relationships>
</file>

<file path=xl/worksheets/_rels/sheet40.xml.rels><?xml version="1.0" encoding="UTF-8" standalone="yes"?>
<Relationships xmlns="http://schemas.openxmlformats.org/package/2006/relationships"><Relationship Id="rId1" Type="http://schemas.openxmlformats.org/officeDocument/2006/relationships/drawing" Target="../drawings/drawing39.xml"/></Relationships>
</file>

<file path=xl/worksheets/_rels/sheet41.xml.rels><?xml version="1.0" encoding="UTF-8" standalone="yes"?>
<Relationships xmlns="http://schemas.openxmlformats.org/package/2006/relationships"><Relationship Id="rId1" Type="http://schemas.openxmlformats.org/officeDocument/2006/relationships/drawing" Target="../drawings/drawing40.xml"/></Relationships>
</file>

<file path=xl/worksheets/_rels/sheet42.xml.rels><?xml version="1.0" encoding="UTF-8" standalone="yes"?>
<Relationships xmlns="http://schemas.openxmlformats.org/package/2006/relationships"><Relationship Id="rId1" Type="http://schemas.openxmlformats.org/officeDocument/2006/relationships/drawing" Target="../drawings/drawing41.xml"/></Relationships>
</file>

<file path=xl/worksheets/_rels/sheet43.xml.rels><?xml version="1.0" encoding="UTF-8" standalone="yes"?>
<Relationships xmlns="http://schemas.openxmlformats.org/package/2006/relationships"><Relationship Id="rId1" Type="http://schemas.openxmlformats.org/officeDocument/2006/relationships/drawing" Target="../drawings/drawing42.xml"/></Relationships>
</file>

<file path=xl/worksheets/_rels/sheet44.xml.rels><?xml version="1.0" encoding="UTF-8" standalone="yes"?>
<Relationships xmlns="http://schemas.openxmlformats.org/package/2006/relationships"><Relationship Id="rId1" Type="http://schemas.openxmlformats.org/officeDocument/2006/relationships/drawing" Target="../drawings/drawing43.xml"/></Relationships>
</file>

<file path=xl/worksheets/_rels/sheet45.xml.rels><?xml version="1.0" encoding="UTF-8" standalone="yes"?>
<Relationships xmlns="http://schemas.openxmlformats.org/package/2006/relationships"><Relationship Id="rId1" Type="http://schemas.openxmlformats.org/officeDocument/2006/relationships/drawing" Target="../drawings/drawing44.xml"/></Relationships>
</file>

<file path=xl/worksheets/_rels/sheet46.xml.rels><?xml version="1.0" encoding="UTF-8" standalone="yes"?>
<Relationships xmlns="http://schemas.openxmlformats.org/package/2006/relationships"><Relationship Id="rId1" Type="http://schemas.openxmlformats.org/officeDocument/2006/relationships/drawing" Target="../drawings/drawing4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4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4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48.xml"/></Relationships>
</file>

<file path=xl/worksheets/_rels/sheet50.xml.rels><?xml version="1.0" encoding="UTF-8" standalone="yes"?>
<Relationships xmlns="http://schemas.openxmlformats.org/package/2006/relationships"><Relationship Id="rId1" Type="http://schemas.openxmlformats.org/officeDocument/2006/relationships/drawing" Target="../drawings/drawing49.xml"/></Relationships>
</file>

<file path=xl/worksheets/_rels/sheet51.xml.rels><?xml version="1.0" encoding="UTF-8" standalone="yes"?>
<Relationships xmlns="http://schemas.openxmlformats.org/package/2006/relationships"><Relationship Id="rId1" Type="http://schemas.openxmlformats.org/officeDocument/2006/relationships/drawing" Target="../drawings/drawing50.xml"/></Relationships>
</file>

<file path=xl/worksheets/_rels/sheet52.xml.rels><?xml version="1.0" encoding="UTF-8" standalone="yes"?>
<Relationships xmlns="http://schemas.openxmlformats.org/package/2006/relationships"><Relationship Id="rId1" Type="http://schemas.openxmlformats.org/officeDocument/2006/relationships/drawing" Target="../drawings/drawing51.xml"/></Relationships>
</file>

<file path=xl/worksheets/_rels/sheet53.xml.rels><?xml version="1.0" encoding="UTF-8" standalone="yes"?>
<Relationships xmlns="http://schemas.openxmlformats.org/package/2006/relationships"><Relationship Id="rId1" Type="http://schemas.openxmlformats.org/officeDocument/2006/relationships/drawing" Target="../drawings/drawing52.xml"/></Relationships>
</file>

<file path=xl/worksheets/_rels/sheet54.xml.rels><?xml version="1.0" encoding="UTF-8" standalone="yes"?>
<Relationships xmlns="http://schemas.openxmlformats.org/package/2006/relationships"><Relationship Id="rId1" Type="http://schemas.openxmlformats.org/officeDocument/2006/relationships/drawing" Target="../drawings/drawing53.xml"/></Relationships>
</file>

<file path=xl/worksheets/_rels/sheet55.xml.rels><?xml version="1.0" encoding="UTF-8" standalone="yes"?>
<Relationships xmlns="http://schemas.openxmlformats.org/package/2006/relationships"><Relationship Id="rId1" Type="http://schemas.openxmlformats.org/officeDocument/2006/relationships/drawing" Target="../drawings/drawing54.xml"/></Relationships>
</file>

<file path=xl/worksheets/_rels/sheet56.xml.rels><?xml version="1.0" encoding="UTF-8" standalone="yes"?>
<Relationships xmlns="http://schemas.openxmlformats.org/package/2006/relationships"><Relationship Id="rId1" Type="http://schemas.openxmlformats.org/officeDocument/2006/relationships/drawing" Target="../drawings/drawing55.xml"/></Relationships>
</file>

<file path=xl/worksheets/_rels/sheet57.xml.rels><?xml version="1.0" encoding="UTF-8" standalone="yes"?>
<Relationships xmlns="http://schemas.openxmlformats.org/package/2006/relationships"><Relationship Id="rId1" Type="http://schemas.openxmlformats.org/officeDocument/2006/relationships/drawing" Target="../drawings/drawing56.xml"/></Relationships>
</file>

<file path=xl/worksheets/_rels/sheet58.xml.rels><?xml version="1.0" encoding="UTF-8" standalone="yes"?>
<Relationships xmlns="http://schemas.openxmlformats.org/package/2006/relationships"><Relationship Id="rId1" Type="http://schemas.openxmlformats.org/officeDocument/2006/relationships/drawing" Target="../drawings/drawing57.xml"/></Relationships>
</file>

<file path=xl/worksheets/_rels/sheet59.xml.rels><?xml version="1.0" encoding="UTF-8" standalone="yes"?>
<Relationships xmlns="http://schemas.openxmlformats.org/package/2006/relationships"><Relationship Id="rId1" Type="http://schemas.openxmlformats.org/officeDocument/2006/relationships/drawing" Target="../drawings/drawing58.xml"/></Relationships>
</file>

<file path=xl/worksheets/_rels/sheet60.xml.rels><?xml version="1.0" encoding="UTF-8" standalone="yes"?>
<Relationships xmlns="http://schemas.openxmlformats.org/package/2006/relationships"><Relationship Id="rId1" Type="http://schemas.openxmlformats.org/officeDocument/2006/relationships/drawing" Target="../drawings/drawing59.xml"/></Relationships>
</file>

<file path=xl/worksheets/_rels/sheet61.xml.rels><?xml version="1.0" encoding="UTF-8" standalone="yes"?>
<Relationships xmlns="http://schemas.openxmlformats.org/package/2006/relationships"><Relationship Id="rId1" Type="http://schemas.openxmlformats.org/officeDocument/2006/relationships/drawing" Target="../drawings/drawing60.xml"/></Relationships>
</file>

<file path=xl/worksheets/_rels/sheet62.xml.rels><?xml version="1.0" encoding="UTF-8" standalone="yes"?>
<Relationships xmlns="http://schemas.openxmlformats.org/package/2006/relationships"><Relationship Id="rId1" Type="http://schemas.openxmlformats.org/officeDocument/2006/relationships/drawing" Target="../drawings/drawing61.xml"/></Relationships>
</file>

<file path=xl/worksheets/_rels/sheet63.xml.rels><?xml version="1.0" encoding="UTF-8" standalone="yes"?>
<Relationships xmlns="http://schemas.openxmlformats.org/package/2006/relationships"><Relationship Id="rId1" Type="http://schemas.openxmlformats.org/officeDocument/2006/relationships/drawing" Target="../drawings/drawing62.xml"/></Relationships>
</file>

<file path=xl/worksheets/_rels/sheet64.xml.rels><?xml version="1.0" encoding="UTF-8" standalone="yes"?>
<Relationships xmlns="http://schemas.openxmlformats.org/package/2006/relationships"><Relationship Id="rId1" Type="http://schemas.openxmlformats.org/officeDocument/2006/relationships/drawing" Target="../drawings/drawing63.xml"/></Relationships>
</file>

<file path=xl/worksheets/_rels/sheet65.xml.rels><?xml version="1.0" encoding="UTF-8" standalone="yes"?>
<Relationships xmlns="http://schemas.openxmlformats.org/package/2006/relationships"><Relationship Id="rId1" Type="http://schemas.openxmlformats.org/officeDocument/2006/relationships/drawing" Target="../drawings/drawing64.xml"/></Relationships>
</file>

<file path=xl/worksheets/_rels/sheet66.xml.rels><?xml version="1.0" encoding="UTF-8" standalone="yes"?>
<Relationships xmlns="http://schemas.openxmlformats.org/package/2006/relationships"><Relationship Id="rId1" Type="http://schemas.openxmlformats.org/officeDocument/2006/relationships/drawing" Target="../drawings/drawing65.xml"/></Relationships>
</file>

<file path=xl/worksheets/_rels/sheet67.xml.rels><?xml version="1.0" encoding="UTF-8" standalone="yes"?>
<Relationships xmlns="http://schemas.openxmlformats.org/package/2006/relationships"><Relationship Id="rId1" Type="http://schemas.openxmlformats.org/officeDocument/2006/relationships/drawing" Target="../drawings/drawing66.xml"/></Relationships>
</file>

<file path=xl/worksheets/_rels/sheet68.xml.rels><?xml version="1.0" encoding="UTF-8" standalone="yes"?>
<Relationships xmlns="http://schemas.openxmlformats.org/package/2006/relationships"><Relationship Id="rId1" Type="http://schemas.openxmlformats.org/officeDocument/2006/relationships/drawing" Target="../drawings/drawing67.xml"/></Relationships>
</file>

<file path=xl/worksheets/_rels/sheet69.xml.rels><?xml version="1.0" encoding="UTF-8" standalone="yes"?>
<Relationships xmlns="http://schemas.openxmlformats.org/package/2006/relationships"><Relationship Id="rId1" Type="http://schemas.openxmlformats.org/officeDocument/2006/relationships/drawing" Target="../drawings/drawing68.xml"/></Relationships>
</file>

<file path=xl/worksheets/_rels/sheet70.xml.rels><?xml version="1.0" encoding="UTF-8" standalone="yes"?>
<Relationships xmlns="http://schemas.openxmlformats.org/package/2006/relationships"><Relationship Id="rId1" Type="http://schemas.openxmlformats.org/officeDocument/2006/relationships/drawing" Target="../drawings/drawing69.xml"/></Relationships>
</file>

<file path=xl/worksheets/_rels/sheet71.xml.rels><?xml version="1.0" encoding="UTF-8" standalone="yes"?>
<Relationships xmlns="http://schemas.openxmlformats.org/package/2006/relationships"><Relationship Id="rId1" Type="http://schemas.openxmlformats.org/officeDocument/2006/relationships/drawing" Target="../drawings/drawing70.xml"/></Relationships>
</file>

<file path=xl/worksheets/_rels/sheet72.xml.rels><?xml version="1.0" encoding="UTF-8" standalone="yes"?>
<Relationships xmlns="http://schemas.openxmlformats.org/package/2006/relationships"><Relationship Id="rId1" Type="http://schemas.openxmlformats.org/officeDocument/2006/relationships/drawing" Target="../drawings/drawing71.xml"/></Relationships>
</file>

<file path=xl/worksheets/_rels/sheet73.xml.rels><?xml version="1.0" encoding="UTF-8" standalone="yes"?>
<Relationships xmlns="http://schemas.openxmlformats.org/package/2006/relationships"><Relationship Id="rId1" Type="http://schemas.openxmlformats.org/officeDocument/2006/relationships/drawing" Target="../drawings/drawing72.xml"/></Relationships>
</file>

<file path=xl/worksheets/_rels/sheet74.xml.rels><?xml version="1.0" encoding="UTF-8" standalone="yes"?>
<Relationships xmlns="http://schemas.openxmlformats.org/package/2006/relationships"><Relationship Id="rId1" Type="http://schemas.openxmlformats.org/officeDocument/2006/relationships/drawing" Target="../drawings/drawing73.xml"/></Relationships>
</file>

<file path=xl/worksheets/_rels/sheet75.xml.rels><?xml version="1.0" encoding="UTF-8" standalone="yes"?>
<Relationships xmlns="http://schemas.openxmlformats.org/package/2006/relationships"><Relationship Id="rId1" Type="http://schemas.openxmlformats.org/officeDocument/2006/relationships/drawing" Target="../drawings/drawing74.xml"/></Relationships>
</file>

<file path=xl/worksheets/_rels/sheet76.xml.rels><?xml version="1.0" encoding="UTF-8" standalone="yes"?>
<Relationships xmlns="http://schemas.openxmlformats.org/package/2006/relationships"><Relationship Id="rId1" Type="http://schemas.openxmlformats.org/officeDocument/2006/relationships/drawing" Target="../drawings/drawing75.xml"/></Relationships>
</file>

<file path=xl/worksheets/_rels/sheet77.xml.rels><?xml version="1.0" encoding="UTF-8" standalone="yes"?>
<Relationships xmlns="http://schemas.openxmlformats.org/package/2006/relationships"><Relationship Id="rId1" Type="http://schemas.openxmlformats.org/officeDocument/2006/relationships/drawing" Target="../drawings/drawing76.xml"/></Relationships>
</file>

<file path=xl/worksheets/_rels/sheet78.xml.rels><?xml version="1.0" encoding="UTF-8" standalone="yes"?>
<Relationships xmlns="http://schemas.openxmlformats.org/package/2006/relationships"><Relationship Id="rId1" Type="http://schemas.openxmlformats.org/officeDocument/2006/relationships/drawing" Target="../drawings/drawing77.xml"/></Relationships>
</file>

<file path=xl/worksheets/_rels/sheet79.xml.rels><?xml version="1.0" encoding="UTF-8" standalone="yes"?>
<Relationships xmlns="http://schemas.openxmlformats.org/package/2006/relationships"><Relationship Id="rId1" Type="http://schemas.openxmlformats.org/officeDocument/2006/relationships/drawing" Target="../drawings/drawing78.xml"/></Relationships>
</file>

<file path=xl/worksheets/_rels/sheet80.xml.rels><?xml version="1.0" encoding="UTF-8" standalone="yes"?>
<Relationships xmlns="http://schemas.openxmlformats.org/package/2006/relationships"><Relationship Id="rId1" Type="http://schemas.openxmlformats.org/officeDocument/2006/relationships/drawing" Target="../drawings/drawing79.xml"/></Relationships>
</file>

<file path=xl/worksheets/_rels/sheet81.xml.rels><?xml version="1.0" encoding="UTF-8" standalone="yes"?>
<Relationships xmlns="http://schemas.openxmlformats.org/package/2006/relationships"><Relationship Id="rId1" Type="http://schemas.openxmlformats.org/officeDocument/2006/relationships/drawing" Target="../drawings/drawing80.xml"/></Relationships>
</file>

<file path=xl/worksheets/_rels/sheet82.xml.rels><?xml version="1.0" encoding="UTF-8" standalone="yes"?>
<Relationships xmlns="http://schemas.openxmlformats.org/package/2006/relationships"><Relationship Id="rId1" Type="http://schemas.openxmlformats.org/officeDocument/2006/relationships/drawing" Target="../drawings/drawing81.xml"/></Relationships>
</file>

<file path=xl/worksheets/_rels/sheet83.xml.rels><?xml version="1.0" encoding="UTF-8" standalone="yes"?>
<Relationships xmlns="http://schemas.openxmlformats.org/package/2006/relationships"><Relationship Id="rId1" Type="http://schemas.openxmlformats.org/officeDocument/2006/relationships/drawing" Target="../drawings/drawing82.xml"/></Relationships>
</file>

<file path=xl/worksheets/_rels/sheet84.xml.rels><?xml version="1.0" encoding="UTF-8" standalone="yes"?>
<Relationships xmlns="http://schemas.openxmlformats.org/package/2006/relationships"><Relationship Id="rId1" Type="http://schemas.openxmlformats.org/officeDocument/2006/relationships/drawing" Target="../drawings/drawing83.xml"/></Relationships>
</file>

<file path=xl/worksheets/_rels/sheet85.xml.rels><?xml version="1.0" encoding="UTF-8" standalone="yes"?>
<Relationships xmlns="http://schemas.openxmlformats.org/package/2006/relationships"><Relationship Id="rId1" Type="http://schemas.openxmlformats.org/officeDocument/2006/relationships/drawing" Target="../drawings/drawing84.xml"/></Relationships>
</file>

<file path=xl/worksheets/_rels/sheet86.xml.rels><?xml version="1.0" encoding="UTF-8" standalone="yes"?>
<Relationships xmlns="http://schemas.openxmlformats.org/package/2006/relationships"><Relationship Id="rId1" Type="http://schemas.openxmlformats.org/officeDocument/2006/relationships/drawing" Target="../drawings/drawing85.xml"/></Relationships>
</file>

<file path=xl/worksheets/_rels/sheet87.xml.rels><?xml version="1.0" encoding="UTF-8" standalone="yes"?>
<Relationships xmlns="http://schemas.openxmlformats.org/package/2006/relationships"><Relationship Id="rId1" Type="http://schemas.openxmlformats.org/officeDocument/2006/relationships/drawing" Target="../drawings/drawing86.xml"/></Relationships>
</file>

<file path=xl/worksheets/_rels/sheet88.xml.rels><?xml version="1.0" encoding="UTF-8" standalone="yes"?>
<Relationships xmlns="http://schemas.openxmlformats.org/package/2006/relationships"><Relationship Id="rId1" Type="http://schemas.openxmlformats.org/officeDocument/2006/relationships/drawing" Target="../drawings/drawing87.xml"/></Relationships>
</file>

<file path=xl/worksheets/_rels/sheet89.xml.rels><?xml version="1.0" encoding="UTF-8" standalone="yes"?>
<Relationships xmlns="http://schemas.openxmlformats.org/package/2006/relationships"><Relationship Id="rId1" Type="http://schemas.openxmlformats.org/officeDocument/2006/relationships/drawing" Target="../drawings/drawing88.xml"/></Relationships>
</file>

<file path=xl/worksheets/_rels/sheet90.xml.rels><?xml version="1.0" encoding="UTF-8" standalone="yes"?>
<Relationships xmlns="http://schemas.openxmlformats.org/package/2006/relationships"><Relationship Id="rId1" Type="http://schemas.openxmlformats.org/officeDocument/2006/relationships/drawing" Target="../drawings/drawing89.xml"/></Relationships>
</file>

<file path=xl/worksheets/_rels/sheet91.xml.rels><?xml version="1.0" encoding="UTF-8" standalone="yes"?>
<Relationships xmlns="http://schemas.openxmlformats.org/package/2006/relationships"><Relationship Id="rId1" Type="http://schemas.openxmlformats.org/officeDocument/2006/relationships/drawing" Target="../drawings/drawing90.xml"/></Relationships>
</file>

<file path=xl/worksheets/_rels/sheet92.xml.rels><?xml version="1.0" encoding="UTF-8" standalone="yes"?>
<Relationships xmlns="http://schemas.openxmlformats.org/package/2006/relationships"><Relationship Id="rId1" Type="http://schemas.openxmlformats.org/officeDocument/2006/relationships/drawing" Target="../drawings/drawing91.xml"/></Relationships>
</file>

<file path=xl/worksheets/_rels/sheet93.xml.rels><?xml version="1.0" encoding="UTF-8" standalone="yes"?>
<Relationships xmlns="http://schemas.openxmlformats.org/package/2006/relationships"><Relationship Id="rId1" Type="http://schemas.openxmlformats.org/officeDocument/2006/relationships/drawing" Target="../drawings/drawing92.xml"/></Relationships>
</file>

<file path=xl/worksheets/_rels/sheet94.xml.rels><?xml version="1.0" encoding="UTF-8" standalone="yes"?>
<Relationships xmlns="http://schemas.openxmlformats.org/package/2006/relationships"><Relationship Id="rId1" Type="http://schemas.openxmlformats.org/officeDocument/2006/relationships/drawing" Target="../drawings/drawing93.xml"/></Relationships>
</file>

<file path=xl/worksheets/_rels/sheet95.xml.rels><?xml version="1.0" encoding="UTF-8" standalone="yes"?>
<Relationships xmlns="http://schemas.openxmlformats.org/package/2006/relationships"><Relationship Id="rId1" Type="http://schemas.openxmlformats.org/officeDocument/2006/relationships/drawing" Target="../drawings/drawing94.xml"/></Relationships>
</file>

<file path=xl/worksheets/_rels/sheet96.xml.rels><?xml version="1.0" encoding="UTF-8" standalone="yes"?>
<Relationships xmlns="http://schemas.openxmlformats.org/package/2006/relationships"><Relationship Id="rId1" Type="http://schemas.openxmlformats.org/officeDocument/2006/relationships/drawing" Target="../drawings/drawing95.xml"/></Relationships>
</file>

<file path=xl/worksheets/_rels/sheet97.xml.rels><?xml version="1.0" encoding="UTF-8" standalone="yes"?>
<Relationships xmlns="http://schemas.openxmlformats.org/package/2006/relationships"><Relationship Id="rId1" Type="http://schemas.openxmlformats.org/officeDocument/2006/relationships/drawing" Target="../drawings/drawing96.xml"/></Relationships>
</file>

<file path=xl/worksheets/_rels/sheet98.xml.rels><?xml version="1.0" encoding="UTF-8" standalone="yes"?>
<Relationships xmlns="http://schemas.openxmlformats.org/package/2006/relationships"><Relationship Id="rId1" Type="http://schemas.openxmlformats.org/officeDocument/2006/relationships/drawing" Target="../drawings/drawing97.xml"/></Relationships>
</file>

<file path=xl/worksheets/_rels/sheet99.xml.rels><?xml version="1.0" encoding="UTF-8" standalone="yes"?>
<Relationships xmlns="http://schemas.openxmlformats.org/package/2006/relationships"><Relationship Id="rId1" Type="http://schemas.openxmlformats.org/officeDocument/2006/relationships/drawing" Target="../drawings/drawing98.xml"/></Relationships>
</file>

<file path=xl/worksheets/_rels/sheet100.xml.rels><?xml version="1.0" encoding="UTF-8" standalone="yes"?>
<Relationships xmlns="http://schemas.openxmlformats.org/package/2006/relationships"><Relationship Id="rId1" Type="http://schemas.openxmlformats.org/officeDocument/2006/relationships/drawing" Target="../drawings/drawing99.xml"/></Relationships>
</file>

<file path=xl/worksheets/_rels/sheet101.xml.rels><?xml version="1.0" encoding="UTF-8" standalone="yes"?>
<Relationships xmlns="http://schemas.openxmlformats.org/package/2006/relationships"><Relationship Id="rId1" Type="http://schemas.openxmlformats.org/officeDocument/2006/relationships/drawing" Target="../drawings/drawing100.xml"/></Relationships>
</file>

<file path=xl/worksheets/_rels/sheet102.xml.rels><?xml version="1.0" encoding="UTF-8" standalone="yes"?>
<Relationships xmlns="http://schemas.openxmlformats.org/package/2006/relationships"><Relationship Id="rId1" Type="http://schemas.openxmlformats.org/officeDocument/2006/relationships/drawing" Target="../drawings/drawing101.xml"/></Relationships>
</file>

<file path=xl/worksheets/_rels/sheet103.xml.rels><?xml version="1.0" encoding="UTF-8" standalone="yes"?>
<Relationships xmlns="http://schemas.openxmlformats.org/package/2006/relationships"><Relationship Id="rId1" Type="http://schemas.openxmlformats.org/officeDocument/2006/relationships/drawing" Target="../drawings/drawing102.xml"/></Relationships>
</file>

<file path=xl/worksheets/_rels/sheet104.xml.rels><?xml version="1.0" encoding="UTF-8" standalone="yes"?>
<Relationships xmlns="http://schemas.openxmlformats.org/package/2006/relationships"><Relationship Id="rId1" Type="http://schemas.openxmlformats.org/officeDocument/2006/relationships/drawing" Target="../drawings/drawing103.xml"/></Relationships>
</file>

<file path=xl/worksheets/_rels/sheet105.xml.rels><?xml version="1.0" encoding="UTF-8" standalone="yes"?>
<Relationships xmlns="http://schemas.openxmlformats.org/package/2006/relationships"><Relationship Id="rId1" Type="http://schemas.openxmlformats.org/officeDocument/2006/relationships/drawing" Target="../drawings/drawing104.xml"/></Relationships>
</file>

<file path=xl/worksheets/_rels/sheet106.xml.rels><?xml version="1.0" encoding="UTF-8" standalone="yes"?>
<Relationships xmlns="http://schemas.openxmlformats.org/package/2006/relationships"><Relationship Id="rId1" Type="http://schemas.openxmlformats.org/officeDocument/2006/relationships/drawing" Target="../drawings/drawing105.xml"/></Relationships>
</file>

<file path=xl/worksheets/_rels/sheet107.xml.rels><?xml version="1.0" encoding="UTF-8" standalone="yes"?>
<Relationships xmlns="http://schemas.openxmlformats.org/package/2006/relationships"><Relationship Id="rId1" Type="http://schemas.openxmlformats.org/officeDocument/2006/relationships/drawing" Target="../drawings/drawing106.xml"/></Relationships>
</file>

<file path=xl/worksheets/_rels/sheet108.xml.rels><?xml version="1.0" encoding="UTF-8" standalone="yes"?>
<Relationships xmlns="http://schemas.openxmlformats.org/package/2006/relationships"><Relationship Id="rId1" Type="http://schemas.openxmlformats.org/officeDocument/2006/relationships/drawing" Target="../drawings/drawing107.xml"/></Relationships>
</file>

<file path=xl/worksheets/_rels/sheet109.xml.rels><?xml version="1.0" encoding="UTF-8" standalone="yes"?>
<Relationships xmlns="http://schemas.openxmlformats.org/package/2006/relationships"><Relationship Id="rId1" Type="http://schemas.openxmlformats.org/officeDocument/2006/relationships/drawing" Target="../drawings/drawing108.xml"/></Relationships>
</file>

<file path=xl/worksheets/_rels/sheet110.xml.rels><?xml version="1.0" encoding="UTF-8" standalone="yes"?>
<Relationships xmlns="http://schemas.openxmlformats.org/package/2006/relationships"><Relationship Id="rId1" Type="http://schemas.openxmlformats.org/officeDocument/2006/relationships/drawing" Target="../drawings/drawing109.xml"/></Relationships>
</file>

<file path=xl/worksheets/_rels/sheet111.xml.rels><?xml version="1.0" encoding="UTF-8" standalone="yes"?>
<Relationships xmlns="http://schemas.openxmlformats.org/package/2006/relationships"><Relationship Id="rId1" Type="http://schemas.openxmlformats.org/officeDocument/2006/relationships/drawing" Target="../drawings/drawing110.xml"/></Relationships>
</file>

<file path=xl/worksheets/_rels/sheet112.xml.rels><?xml version="1.0" encoding="UTF-8" standalone="yes"?>
<Relationships xmlns="http://schemas.openxmlformats.org/package/2006/relationships"><Relationship Id="rId1" Type="http://schemas.openxmlformats.org/officeDocument/2006/relationships/drawing" Target="../drawings/drawing111.xml"/></Relationships>
</file>

<file path=xl/worksheets/_rels/sheet113.xml.rels><?xml version="1.0" encoding="UTF-8" standalone="yes"?>
<Relationships xmlns="http://schemas.openxmlformats.org/package/2006/relationships"><Relationship Id="rId1" Type="http://schemas.openxmlformats.org/officeDocument/2006/relationships/drawing" Target="../drawings/drawing112.xml"/></Relationships>
</file>

<file path=xl/worksheets/_rels/sheet114.xml.rels><?xml version="1.0" encoding="UTF-8" standalone="yes"?>
<Relationships xmlns="http://schemas.openxmlformats.org/package/2006/relationships"><Relationship Id="rId1" Type="http://schemas.openxmlformats.org/officeDocument/2006/relationships/drawing" Target="../drawings/drawing113.xml"/></Relationships>
</file>

<file path=xl/worksheets/_rels/sheet115.xml.rels><?xml version="1.0" encoding="UTF-8" standalone="yes"?>
<Relationships xmlns="http://schemas.openxmlformats.org/package/2006/relationships"><Relationship Id="rId1" Type="http://schemas.openxmlformats.org/officeDocument/2006/relationships/drawing" Target="../drawings/drawing114.xml"/></Relationships>
</file>

<file path=xl/worksheets/_rels/sheet116.xml.rels><?xml version="1.0" encoding="UTF-8" standalone="yes"?>
<Relationships xmlns="http://schemas.openxmlformats.org/package/2006/relationships"><Relationship Id="rId1" Type="http://schemas.openxmlformats.org/officeDocument/2006/relationships/drawing" Target="../drawings/drawing115.xml"/></Relationships>
</file>

<file path=xl/worksheets/_rels/sheet117.xml.rels><?xml version="1.0" encoding="UTF-8" standalone="yes"?>
<Relationships xmlns="http://schemas.openxmlformats.org/package/2006/relationships"><Relationship Id="rId1" Type="http://schemas.openxmlformats.org/officeDocument/2006/relationships/drawing" Target="../drawings/drawing116.xml"/></Relationships>
</file>

<file path=xl/worksheets/_rels/sheet118.xml.rels><?xml version="1.0" encoding="UTF-8" standalone="yes"?>
<Relationships xmlns="http://schemas.openxmlformats.org/package/2006/relationships"><Relationship Id="rId1" Type="http://schemas.openxmlformats.org/officeDocument/2006/relationships/drawing" Target="../drawings/drawing117.xml"/></Relationships>
</file>

<file path=xl/worksheets/_rels/sheet119.xml.rels><?xml version="1.0" encoding="UTF-8" standalone="yes"?>
<Relationships xmlns="http://schemas.openxmlformats.org/package/2006/relationships"><Relationship Id="rId1" Type="http://schemas.openxmlformats.org/officeDocument/2006/relationships/drawing" Target="../drawings/drawing118.xml"/></Relationships>
</file>

<file path=xl/worksheets/_rels/sheet120.xml.rels><?xml version="1.0" encoding="UTF-8" standalone="yes"?>
<Relationships xmlns="http://schemas.openxmlformats.org/package/2006/relationships"><Relationship Id="rId1" Type="http://schemas.openxmlformats.org/officeDocument/2006/relationships/drawing" Target="../drawings/drawing119.xml"/></Relationships>
</file>

<file path=xl/worksheets/_rels/sheet121.xml.rels><?xml version="1.0" encoding="UTF-8" standalone="yes"?>
<Relationships xmlns="http://schemas.openxmlformats.org/package/2006/relationships"><Relationship Id="rId1" Type="http://schemas.openxmlformats.org/officeDocument/2006/relationships/drawing" Target="../drawings/drawing120.xml"/></Relationships>
</file>

<file path=xl/worksheets/_rels/sheet122.xml.rels><?xml version="1.0" encoding="UTF-8" standalone="yes"?>
<Relationships xmlns="http://schemas.openxmlformats.org/package/2006/relationships"><Relationship Id="rId1" Type="http://schemas.openxmlformats.org/officeDocument/2006/relationships/drawing" Target="../drawings/drawing121.xml"/></Relationships>
</file>

<file path=xl/worksheets/_rels/sheet123.xml.rels><?xml version="1.0" encoding="UTF-8" standalone="yes"?>
<Relationships xmlns="http://schemas.openxmlformats.org/package/2006/relationships"><Relationship Id="rId1" Type="http://schemas.openxmlformats.org/officeDocument/2006/relationships/drawing" Target="../drawings/drawing122.xml"/></Relationships>
</file>

<file path=xl/worksheets/_rels/sheet124.xml.rels><?xml version="1.0" encoding="UTF-8" standalone="yes"?>
<Relationships xmlns="http://schemas.openxmlformats.org/package/2006/relationships"><Relationship Id="rId1" Type="http://schemas.openxmlformats.org/officeDocument/2006/relationships/drawing" Target="../drawings/drawing123.xml"/></Relationships>
</file>

<file path=xl/worksheets/_rels/sheet125.xml.rels><?xml version="1.0" encoding="UTF-8" standalone="yes"?>
<Relationships xmlns="http://schemas.openxmlformats.org/package/2006/relationships"><Relationship Id="rId1" Type="http://schemas.openxmlformats.org/officeDocument/2006/relationships/drawing" Target="../drawings/drawing124.xml"/></Relationships>
</file>

<file path=xl/worksheets/_rels/sheet126.xml.rels><?xml version="1.0" encoding="UTF-8" standalone="yes"?>
<Relationships xmlns="http://schemas.openxmlformats.org/package/2006/relationships"><Relationship Id="rId1" Type="http://schemas.openxmlformats.org/officeDocument/2006/relationships/drawing" Target="../drawings/drawing125.xml"/></Relationships>
</file>

<file path=xl/worksheets/_rels/sheet127.xml.rels><?xml version="1.0" encoding="UTF-8" standalone="yes"?>
<Relationships xmlns="http://schemas.openxmlformats.org/package/2006/relationships"><Relationship Id="rId1" Type="http://schemas.openxmlformats.org/officeDocument/2006/relationships/drawing" Target="../drawings/drawing126.xml"/></Relationships>
</file>

<file path=xl/worksheets/_rels/sheet128.xml.rels><?xml version="1.0" encoding="UTF-8" standalone="yes"?>
<Relationships xmlns="http://schemas.openxmlformats.org/package/2006/relationships"><Relationship Id="rId1" Type="http://schemas.openxmlformats.org/officeDocument/2006/relationships/drawing" Target="../drawings/drawing127.xml"/></Relationships>
</file>

<file path=xl/worksheets/_rels/sheet129.xml.rels><?xml version="1.0" encoding="UTF-8" standalone="yes"?>
<Relationships xmlns="http://schemas.openxmlformats.org/package/2006/relationships"><Relationship Id="rId1" Type="http://schemas.openxmlformats.org/officeDocument/2006/relationships/drawing" Target="../drawings/drawing128.xml"/></Relationships>
</file>

<file path=xl/worksheets/_rels/sheet130.xml.rels><?xml version="1.0" encoding="UTF-8" standalone="yes"?>
<Relationships xmlns="http://schemas.openxmlformats.org/package/2006/relationships"><Relationship Id="rId1" Type="http://schemas.openxmlformats.org/officeDocument/2006/relationships/drawing" Target="../drawings/drawing129.xml"/></Relationships>
</file>

<file path=xl/worksheets/_rels/sheet131.xml.rels><?xml version="1.0" encoding="UTF-8" standalone="yes"?>
<Relationships xmlns="http://schemas.openxmlformats.org/package/2006/relationships"><Relationship Id="rId1" Type="http://schemas.openxmlformats.org/officeDocument/2006/relationships/drawing" Target="../drawings/drawing130.xml"/></Relationships>
</file>

<file path=xl/worksheets/_rels/sheet132.xml.rels><?xml version="1.0" encoding="UTF-8" standalone="yes"?>
<Relationships xmlns="http://schemas.openxmlformats.org/package/2006/relationships"><Relationship Id="rId1" Type="http://schemas.openxmlformats.org/officeDocument/2006/relationships/drawing" Target="../drawings/drawing131.xml"/></Relationships>
</file>

<file path=xl/worksheets/_rels/sheet133.xml.rels><?xml version="1.0" encoding="UTF-8" standalone="yes"?>
<Relationships xmlns="http://schemas.openxmlformats.org/package/2006/relationships"><Relationship Id="rId1" Type="http://schemas.openxmlformats.org/officeDocument/2006/relationships/drawing" Target="../drawings/drawing132.xml"/></Relationships>
</file>

<file path=xl/worksheets/_rels/sheet134.xml.rels><?xml version="1.0" encoding="UTF-8" standalone="yes"?>
<Relationships xmlns="http://schemas.openxmlformats.org/package/2006/relationships"><Relationship Id="rId1" Type="http://schemas.openxmlformats.org/officeDocument/2006/relationships/drawing" Target="../drawings/drawing133.xml"/></Relationships>
</file>

<file path=xl/worksheets/_rels/sheet135.xml.rels><?xml version="1.0" encoding="UTF-8" standalone="yes"?>
<Relationships xmlns="http://schemas.openxmlformats.org/package/2006/relationships"><Relationship Id="rId1" Type="http://schemas.openxmlformats.org/officeDocument/2006/relationships/drawing" Target="../drawings/drawing134.xml"/></Relationships>
</file>

<file path=xl/worksheets/_rels/sheet136.xml.rels><?xml version="1.0" encoding="UTF-8" standalone="yes"?>
<Relationships xmlns="http://schemas.openxmlformats.org/package/2006/relationships"><Relationship Id="rId1" Type="http://schemas.openxmlformats.org/officeDocument/2006/relationships/drawing" Target="../drawings/drawing135.xml"/></Relationships>
</file>

<file path=xl/worksheets/_rels/sheet137.xml.rels><?xml version="1.0" encoding="UTF-8" standalone="yes"?>
<Relationships xmlns="http://schemas.openxmlformats.org/package/2006/relationships"><Relationship Id="rId1" Type="http://schemas.openxmlformats.org/officeDocument/2006/relationships/drawing" Target="../drawings/drawing136.xml"/></Relationships>
</file>

<file path=xl/worksheets/_rels/sheet138.xml.rels><?xml version="1.0" encoding="UTF-8" standalone="yes"?>
<Relationships xmlns="http://schemas.openxmlformats.org/package/2006/relationships"><Relationship Id="rId1" Type="http://schemas.openxmlformats.org/officeDocument/2006/relationships/drawing" Target="../drawings/drawing137.xml"/></Relationships>
</file>

<file path=xl/worksheets/_rels/sheet139.xml.rels><?xml version="1.0" encoding="UTF-8" standalone="yes"?>
<Relationships xmlns="http://schemas.openxmlformats.org/package/2006/relationships"><Relationship Id="rId1" Type="http://schemas.openxmlformats.org/officeDocument/2006/relationships/drawing" Target="../drawings/drawing138.xml"/></Relationships>
</file>

<file path=xl/worksheets/_rels/sheet140.xml.rels><?xml version="1.0" encoding="UTF-8" standalone="yes"?>
<Relationships xmlns="http://schemas.openxmlformats.org/package/2006/relationships"><Relationship Id="rId1" Type="http://schemas.openxmlformats.org/officeDocument/2006/relationships/drawing" Target="../drawings/drawing139.xml"/></Relationships>
</file>

<file path=xl/worksheets/_rels/sheet141.xml.rels><?xml version="1.0" encoding="UTF-8" standalone="yes"?>
<Relationships xmlns="http://schemas.openxmlformats.org/package/2006/relationships"><Relationship Id="rId1" Type="http://schemas.openxmlformats.org/officeDocument/2006/relationships/drawing" Target="../drawings/drawing140.xml"/></Relationships>
</file>

<file path=xl/worksheets/_rels/sheet142.xml.rels><?xml version="1.0" encoding="UTF-8" standalone="yes"?>
<Relationships xmlns="http://schemas.openxmlformats.org/package/2006/relationships"><Relationship Id="rId1" Type="http://schemas.openxmlformats.org/officeDocument/2006/relationships/drawing" Target="../drawings/drawing141.xml"/></Relationships>
</file>

<file path=xl/worksheets/_rels/sheet143.xml.rels><?xml version="1.0" encoding="UTF-8" standalone="yes"?>
<Relationships xmlns="http://schemas.openxmlformats.org/package/2006/relationships"><Relationship Id="rId1" Type="http://schemas.openxmlformats.org/officeDocument/2006/relationships/drawing" Target="../drawings/drawing142.xml"/></Relationships>
</file>

<file path=xl/worksheets/_rels/sheet144.xml.rels><?xml version="1.0" encoding="UTF-8" standalone="yes"?>
<Relationships xmlns="http://schemas.openxmlformats.org/package/2006/relationships"><Relationship Id="rId1" Type="http://schemas.openxmlformats.org/officeDocument/2006/relationships/drawing" Target="../drawings/drawing143.xml"/></Relationships>
</file>

<file path=xl/worksheets/_rels/sheet145.xml.rels><?xml version="1.0" encoding="UTF-8" standalone="yes"?>
<Relationships xmlns="http://schemas.openxmlformats.org/package/2006/relationships"><Relationship Id="rId1" Type="http://schemas.openxmlformats.org/officeDocument/2006/relationships/drawing" Target="../drawings/drawing144.xml"/></Relationships>
</file>

<file path=xl/worksheets/_rels/sheet146.xml.rels><?xml version="1.0" encoding="UTF-8" standalone="yes"?>
<Relationships xmlns="http://schemas.openxmlformats.org/package/2006/relationships"><Relationship Id="rId1" Type="http://schemas.openxmlformats.org/officeDocument/2006/relationships/drawing" Target="../drawings/drawing145.xml"/></Relationships>
</file>

<file path=xl/worksheets/_rels/sheet147.xml.rels><?xml version="1.0" encoding="UTF-8" standalone="yes"?>
<Relationships xmlns="http://schemas.openxmlformats.org/package/2006/relationships"><Relationship Id="rId1" Type="http://schemas.openxmlformats.org/officeDocument/2006/relationships/drawing" Target="../drawings/drawing146.xml"/></Relationships>
</file>

<file path=xl/worksheets/_rels/sheet148.xml.rels><?xml version="1.0" encoding="UTF-8" standalone="yes"?>
<Relationships xmlns="http://schemas.openxmlformats.org/package/2006/relationships"><Relationship Id="rId1" Type="http://schemas.openxmlformats.org/officeDocument/2006/relationships/drawing" Target="../drawings/drawing147.xml"/></Relationships>
</file>

<file path=xl/worksheets/_rels/sheet149.xml.rels><?xml version="1.0" encoding="UTF-8" standalone="yes"?>
<Relationships xmlns="http://schemas.openxmlformats.org/package/2006/relationships"><Relationship Id="rId1" Type="http://schemas.openxmlformats.org/officeDocument/2006/relationships/drawing" Target="../drawings/drawing148.xml"/></Relationships>
</file>

<file path=xl/worksheets/_rels/sheet150.xml.rels><?xml version="1.0" encoding="UTF-8" standalone="yes"?>
<Relationships xmlns="http://schemas.openxmlformats.org/package/2006/relationships"><Relationship Id="rId1" Type="http://schemas.openxmlformats.org/officeDocument/2006/relationships/drawing" Target="../drawings/drawing149.xml"/></Relationships>
</file>

<file path=xl/worksheets/_rels/sheet151.xml.rels><?xml version="1.0" encoding="UTF-8" standalone="yes"?>
<Relationships xmlns="http://schemas.openxmlformats.org/package/2006/relationships"><Relationship Id="rId1" Type="http://schemas.openxmlformats.org/officeDocument/2006/relationships/drawing" Target="../drawings/drawing150.xml"/></Relationships>
</file>

<file path=xl/worksheets/_rels/sheet152.xml.rels><?xml version="1.0" encoding="UTF-8" standalone="yes"?>
<Relationships xmlns="http://schemas.openxmlformats.org/package/2006/relationships"><Relationship Id="rId1" Type="http://schemas.openxmlformats.org/officeDocument/2006/relationships/drawing" Target="../drawings/drawing151.xml"/></Relationships>
</file>

<file path=xl/worksheets/_rels/sheet153.xml.rels><?xml version="1.0" encoding="UTF-8" standalone="yes"?>
<Relationships xmlns="http://schemas.openxmlformats.org/package/2006/relationships"><Relationship Id="rId1" Type="http://schemas.openxmlformats.org/officeDocument/2006/relationships/drawing" Target="../drawings/drawing152.xml"/></Relationships>
</file>

<file path=xl/worksheets/_rels/sheet154.xml.rels><?xml version="1.0" encoding="UTF-8" standalone="yes"?>
<Relationships xmlns="http://schemas.openxmlformats.org/package/2006/relationships"><Relationship Id="rId1" Type="http://schemas.openxmlformats.org/officeDocument/2006/relationships/drawing" Target="../drawings/drawing153.xml"/></Relationships>
</file>

<file path=xl/worksheets/_rels/sheet155.xml.rels><?xml version="1.0" encoding="UTF-8" standalone="yes"?>
<Relationships xmlns="http://schemas.openxmlformats.org/package/2006/relationships"><Relationship Id="rId1" Type="http://schemas.openxmlformats.org/officeDocument/2006/relationships/drawing" Target="../drawings/drawing154.xml"/></Relationships>
</file>

<file path=xl/worksheets/_rels/sheet156.xml.rels><?xml version="1.0" encoding="UTF-8" standalone="yes"?>
<Relationships xmlns="http://schemas.openxmlformats.org/package/2006/relationships"><Relationship Id="rId1" Type="http://schemas.openxmlformats.org/officeDocument/2006/relationships/drawing" Target="../drawings/drawing155.xml"/></Relationships>
</file>

<file path=xl/worksheets/_rels/sheet157.xml.rels><?xml version="1.0" encoding="UTF-8" standalone="yes"?>
<Relationships xmlns="http://schemas.openxmlformats.org/package/2006/relationships"><Relationship Id="rId1" Type="http://schemas.openxmlformats.org/officeDocument/2006/relationships/drawing" Target="../drawings/drawing156.xml"/></Relationships>
</file>

<file path=xl/worksheets/_rels/sheet158.xml.rels><?xml version="1.0" encoding="UTF-8" standalone="yes"?>
<Relationships xmlns="http://schemas.openxmlformats.org/package/2006/relationships"><Relationship Id="rId1" Type="http://schemas.openxmlformats.org/officeDocument/2006/relationships/drawing" Target="../drawings/drawing157.xml"/></Relationships>
</file>

<file path=xl/worksheets/_rels/sheet159.xml.rels><?xml version="1.0" encoding="UTF-8" standalone="yes"?>
<Relationships xmlns="http://schemas.openxmlformats.org/package/2006/relationships"><Relationship Id="rId1" Type="http://schemas.openxmlformats.org/officeDocument/2006/relationships/drawing" Target="../drawings/drawing158.xml"/></Relationships>
</file>

<file path=xl/worksheets/_rels/sheet160.xml.rels><?xml version="1.0" encoding="UTF-8" standalone="yes"?>
<Relationships xmlns="http://schemas.openxmlformats.org/package/2006/relationships"><Relationship Id="rId1" Type="http://schemas.openxmlformats.org/officeDocument/2006/relationships/drawing" Target="../drawings/drawing159.xml"/></Relationships>
</file>

<file path=xl/worksheets/_rels/sheet161.xml.rels><?xml version="1.0" encoding="UTF-8" standalone="yes"?>
<Relationships xmlns="http://schemas.openxmlformats.org/package/2006/relationships"><Relationship Id="rId1" Type="http://schemas.openxmlformats.org/officeDocument/2006/relationships/drawing" Target="../drawings/drawing160.xml"/></Relationships>
</file>

<file path=xl/worksheets/_rels/sheet162.xml.rels><?xml version="1.0" encoding="UTF-8" standalone="yes"?>
<Relationships xmlns="http://schemas.openxmlformats.org/package/2006/relationships"><Relationship Id="rId1" Type="http://schemas.openxmlformats.org/officeDocument/2006/relationships/drawing" Target="../drawings/drawing161.xml"/></Relationships>
</file>

<file path=xl/worksheets/_rels/sheet163.xml.rels><?xml version="1.0" encoding="UTF-8" standalone="yes"?>
<Relationships xmlns="http://schemas.openxmlformats.org/package/2006/relationships"><Relationship Id="rId1" Type="http://schemas.openxmlformats.org/officeDocument/2006/relationships/drawing" Target="../drawings/drawing162.xml"/></Relationships>
</file>

<file path=xl/worksheets/_rels/sheet164.xml.rels><?xml version="1.0" encoding="UTF-8" standalone="yes"?>
<Relationships xmlns="http://schemas.openxmlformats.org/package/2006/relationships"><Relationship Id="rId1" Type="http://schemas.openxmlformats.org/officeDocument/2006/relationships/drawing" Target="../drawings/drawing163.xml"/></Relationships>
</file>

<file path=xl/worksheets/_rels/sheet165.xml.rels><?xml version="1.0" encoding="UTF-8" standalone="yes"?>
<Relationships xmlns="http://schemas.openxmlformats.org/package/2006/relationships"><Relationship Id="rId1" Type="http://schemas.openxmlformats.org/officeDocument/2006/relationships/drawing" Target="../drawings/drawing164.xml"/></Relationships>
</file>

<file path=xl/worksheets/_rels/sheet166.xml.rels><?xml version="1.0" encoding="UTF-8" standalone="yes"?>
<Relationships xmlns="http://schemas.openxmlformats.org/package/2006/relationships"><Relationship Id="rId1" Type="http://schemas.openxmlformats.org/officeDocument/2006/relationships/drawing" Target="../drawings/drawing165.xml"/></Relationships>
</file>

<file path=xl/worksheets/_rels/sheet167.xml.rels><?xml version="1.0" encoding="UTF-8" standalone="yes"?>
<Relationships xmlns="http://schemas.openxmlformats.org/package/2006/relationships"><Relationship Id="rId1" Type="http://schemas.openxmlformats.org/officeDocument/2006/relationships/drawing" Target="../drawings/drawing166.xml"/></Relationships>
</file>

<file path=xl/worksheets/_rels/sheet168.xml.rels><?xml version="1.0" encoding="UTF-8" standalone="yes"?>
<Relationships xmlns="http://schemas.openxmlformats.org/package/2006/relationships"><Relationship Id="rId1" Type="http://schemas.openxmlformats.org/officeDocument/2006/relationships/drawing" Target="../drawings/drawing167.xml"/></Relationships>
</file>

<file path=xl/worksheets/_rels/sheet169.xml.rels><?xml version="1.0" encoding="UTF-8" standalone="yes"?>
<Relationships xmlns="http://schemas.openxmlformats.org/package/2006/relationships"><Relationship Id="rId1" Type="http://schemas.openxmlformats.org/officeDocument/2006/relationships/drawing" Target="../drawings/drawing168.xml"/></Relationships>
</file>

<file path=xl/worksheets/_rels/sheet170.xml.rels><?xml version="1.0" encoding="UTF-8" standalone="yes"?>
<Relationships xmlns="http://schemas.openxmlformats.org/package/2006/relationships"><Relationship Id="rId1" Type="http://schemas.openxmlformats.org/officeDocument/2006/relationships/drawing" Target="../drawings/drawing16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D2CD9-58B7-4B28-B0B3-1F33ECEADC22}">
  <dimension ref="A1:G200"/>
  <sheetViews>
    <sheetView topLeftCell="A151" workbookViewId="0">
      <selection activeCell="C167" sqref="C167"/>
    </sheetView>
  </sheetViews>
  <sheetFormatPr defaultRowHeight="14.5" x14ac:dyDescent="0.35"/>
  <cols>
    <col min="1" max="1" width="56.54296875" customWidth="1"/>
  </cols>
  <sheetData>
    <row r="1" spans="1:7" x14ac:dyDescent="0.35">
      <c r="A1" t="s">
        <v>49</v>
      </c>
      <c r="B1" t="s">
        <v>50</v>
      </c>
      <c r="C1">
        <f>IFERROR(VLOOKUP(A1, E1:G200, 2, FALSE), 0)</f>
        <v>1</v>
      </c>
      <c r="D1" t="str">
        <f>IFERROR(VLOOKUP(A1, E1:G200, 3, FALSE), 0)</f>
        <v>11</v>
      </c>
      <c r="E1" t="str">
        <f>Contents!D9</f>
        <v>If you had to choose, which of the following types of infrastructure investment would prefer your Government to prioritise in your local area?Please select up to three</v>
      </c>
      <c r="F1">
        <f>Contents!C9</f>
        <v>1</v>
      </c>
      <c r="G1" t="str">
        <f>Contents!E9</f>
        <v>11</v>
      </c>
    </row>
    <row r="2" spans="1:7" x14ac:dyDescent="0.35">
      <c r="A2" t="s">
        <v>57</v>
      </c>
      <c r="B2" t="s">
        <v>50</v>
      </c>
      <c r="C2">
        <f t="shared" ref="C2:C65" si="0">IFERROR(VLOOKUP(A2, E2:G201, 2, FALSE), 0)</f>
        <v>2</v>
      </c>
      <c r="D2" t="str">
        <f t="shared" ref="D2:D65" si="1">IFERROR(VLOOKUP(A2, E2:G201, 3, FALSE), 0)</f>
        <v>21</v>
      </c>
      <c r="E2" t="str">
        <f>Contents!D10</f>
        <v>Which, if any, of the following areas would you support your government spending more on research on?Please select all that apply.</v>
      </c>
      <c r="F2">
        <f>Contents!C10</f>
        <v>2</v>
      </c>
      <c r="G2" t="str">
        <f>Contents!E10</f>
        <v>21</v>
      </c>
    </row>
    <row r="3" spans="1:7" x14ac:dyDescent="0.35">
      <c r="A3" t="s">
        <v>70</v>
      </c>
      <c r="B3" t="s">
        <v>50</v>
      </c>
      <c r="C3">
        <f t="shared" si="0"/>
        <v>3</v>
      </c>
      <c r="D3" t="str">
        <f t="shared" si="1"/>
        <v>29</v>
      </c>
      <c r="E3" t="str">
        <f>Contents!D11</f>
        <v>Which, if any, of the following sectors do you think is most likely to be important to your country’s economy in the next decade?Please select up to three</v>
      </c>
      <c r="F3">
        <f>Contents!C11</f>
        <v>3</v>
      </c>
      <c r="G3" t="str">
        <f>Contents!E11</f>
        <v>29</v>
      </c>
    </row>
    <row r="4" spans="1:7" x14ac:dyDescent="0.35">
      <c r="A4" t="s">
        <v>71</v>
      </c>
      <c r="B4" t="s">
        <v>50</v>
      </c>
      <c r="C4">
        <f t="shared" si="0"/>
        <v>4</v>
      </c>
      <c r="D4" t="str">
        <f t="shared" si="1"/>
        <v>44</v>
      </c>
      <c r="E4" t="str">
        <f>Contents!D12</f>
        <v>And which would you say have done the best job of innovating in the last decade?Please select up to three</v>
      </c>
      <c r="F4">
        <f>Contents!C12</f>
        <v>4</v>
      </c>
      <c r="G4" t="str">
        <f>Contents!E12</f>
        <v>44</v>
      </c>
    </row>
    <row r="5" spans="1:7" x14ac:dyDescent="0.35">
      <c r="A5" t="s">
        <v>81</v>
      </c>
      <c r="B5" t="s">
        <v>50</v>
      </c>
      <c r="C5">
        <f t="shared" si="0"/>
        <v>5</v>
      </c>
      <c r="D5">
        <f t="shared" si="1"/>
        <v>0</v>
      </c>
      <c r="E5" t="str">
        <f>Contents!D13</f>
        <v>Grid Summary: Overall, how well do you think your country does in the following sectors?</v>
      </c>
      <c r="F5">
        <f>Contents!C13</f>
        <v>5</v>
      </c>
      <c r="G5">
        <f>Contents!E13</f>
        <v>0</v>
      </c>
    </row>
    <row r="6" spans="1:7" x14ac:dyDescent="0.35">
      <c r="A6" t="s">
        <v>82</v>
      </c>
      <c r="B6" t="s">
        <v>50</v>
      </c>
      <c r="C6">
        <f t="shared" si="0"/>
        <v>6</v>
      </c>
      <c r="D6" t="str">
        <f t="shared" si="1"/>
        <v>59</v>
      </c>
      <c r="E6" t="str">
        <f>Contents!D14</f>
        <v>Overall, how well do you think your country does in the following sectors?: Financial services</v>
      </c>
      <c r="F6">
        <f>Contents!C14</f>
        <v>6</v>
      </c>
      <c r="G6" t="str">
        <f>Contents!E14</f>
        <v>59</v>
      </c>
    </row>
    <row r="7" spans="1:7" x14ac:dyDescent="0.35">
      <c r="A7" t="s">
        <v>83</v>
      </c>
      <c r="B7" t="s">
        <v>50</v>
      </c>
      <c r="C7">
        <f t="shared" si="0"/>
        <v>7</v>
      </c>
      <c r="D7" t="str">
        <f t="shared" si="1"/>
        <v>68</v>
      </c>
      <c r="E7" t="str">
        <f>Contents!D15</f>
        <v xml:space="preserve">Overall, how well do you think your country does in the following sectors?: Automotive </v>
      </c>
      <c r="F7">
        <f>Contents!C15</f>
        <v>7</v>
      </c>
      <c r="G7" t="str">
        <f>Contents!E15</f>
        <v>68</v>
      </c>
    </row>
    <row r="8" spans="1:7" x14ac:dyDescent="0.35">
      <c r="A8" t="s">
        <v>84</v>
      </c>
      <c r="B8" t="s">
        <v>50</v>
      </c>
      <c r="C8">
        <f t="shared" si="0"/>
        <v>8</v>
      </c>
      <c r="D8" t="str">
        <f t="shared" si="1"/>
        <v>77</v>
      </c>
      <c r="E8" t="str">
        <f>Contents!D16</f>
        <v>Overall, how well do you think your country does in the following sectors?: Digital technology</v>
      </c>
      <c r="F8">
        <f>Contents!C16</f>
        <v>8</v>
      </c>
      <c r="G8" t="str">
        <f>Contents!E16</f>
        <v>77</v>
      </c>
    </row>
    <row r="9" spans="1:7" x14ac:dyDescent="0.35">
      <c r="A9" t="s">
        <v>93</v>
      </c>
      <c r="B9" t="s">
        <v>50</v>
      </c>
      <c r="C9">
        <f t="shared" si="0"/>
        <v>9</v>
      </c>
      <c r="D9" t="str">
        <f t="shared" si="1"/>
        <v>86</v>
      </c>
      <c r="E9" t="str">
        <f>Contents!D17</f>
        <v xml:space="preserve"> How confident or unconfident are you in your Government’s ability to grow its digital technology sector in the next five years?</v>
      </c>
      <c r="F9">
        <f>Contents!C17</f>
        <v>9</v>
      </c>
      <c r="G9" t="str">
        <f>Contents!E17</f>
        <v>86</v>
      </c>
    </row>
    <row r="10" spans="1:7" x14ac:dyDescent="0.35">
      <c r="A10" t="s">
        <v>97</v>
      </c>
      <c r="B10" t="s">
        <v>50</v>
      </c>
      <c r="C10">
        <f t="shared" si="0"/>
        <v>10</v>
      </c>
      <c r="D10" t="str">
        <f t="shared" si="1"/>
        <v>98</v>
      </c>
      <c r="E10" t="str">
        <f>Contents!D18</f>
        <v xml:space="preserve"> Which of the following is closest to your view?</v>
      </c>
      <c r="F10">
        <f>Contents!C18</f>
        <v>10</v>
      </c>
      <c r="G10" t="str">
        <f>Contents!E18</f>
        <v>98</v>
      </c>
    </row>
    <row r="11" spans="1:7" x14ac:dyDescent="0.35">
      <c r="A11" t="s">
        <v>107</v>
      </c>
      <c r="B11" t="s">
        <v>50</v>
      </c>
      <c r="C11">
        <f t="shared" si="0"/>
        <v>11</v>
      </c>
      <c r="D11" t="str">
        <f t="shared" si="1"/>
        <v>105</v>
      </c>
      <c r="E11" t="str">
        <f>Contents!D19</f>
        <v>Which, if any, of the following technologies do you use regularly?Please select all that apply</v>
      </c>
      <c r="F11">
        <f>Contents!C19</f>
        <v>11</v>
      </c>
      <c r="G11" t="str">
        <f>Contents!E19</f>
        <v>105</v>
      </c>
    </row>
    <row r="12" spans="1:7" x14ac:dyDescent="0.35">
      <c r="A12" t="s">
        <v>111</v>
      </c>
      <c r="B12" t="s">
        <v>50</v>
      </c>
      <c r="C12">
        <f t="shared" si="0"/>
        <v>12</v>
      </c>
      <c r="D12" t="str">
        <f t="shared" si="1"/>
        <v>117</v>
      </c>
      <c r="E12" t="str">
        <f>Contents!D20</f>
        <v xml:space="preserve"> Compared to the average person in your country, would you say that you are an early adopter of new technology?</v>
      </c>
      <c r="F12">
        <f>Contents!C20</f>
        <v>12</v>
      </c>
      <c r="G12" t="str">
        <f>Contents!E20</f>
        <v>117</v>
      </c>
    </row>
    <row r="13" spans="1:7" x14ac:dyDescent="0.35">
      <c r="A13" t="s">
        <v>126</v>
      </c>
      <c r="B13" t="s">
        <v>50</v>
      </c>
      <c r="C13">
        <f t="shared" si="0"/>
        <v>13</v>
      </c>
      <c r="D13" t="str">
        <f t="shared" si="1"/>
        <v>124</v>
      </c>
      <c r="E13" t="str">
        <f>Contents!D21</f>
        <v>Which, if any, of the following types of apps or websites do you use regularly?Please select all that apply</v>
      </c>
      <c r="F13">
        <f>Contents!C21</f>
        <v>13</v>
      </c>
      <c r="G13" t="str">
        <f>Contents!E21</f>
        <v>124</v>
      </c>
    </row>
    <row r="14" spans="1:7" x14ac:dyDescent="0.35">
      <c r="A14" t="s">
        <v>137</v>
      </c>
      <c r="B14" t="s">
        <v>50</v>
      </c>
      <c r="C14">
        <f t="shared" si="0"/>
        <v>14</v>
      </c>
      <c r="D14">
        <f t="shared" si="1"/>
        <v>0</v>
      </c>
      <c r="E14" t="str">
        <f>Contents!D22</f>
        <v>Grid Summary: Overall, how satisfied or unsatisfied are you with the speed and reliability of your Internet connection in the following locations?</v>
      </c>
      <c r="F14">
        <f>Contents!C22</f>
        <v>14</v>
      </c>
      <c r="G14">
        <f>Contents!E22</f>
        <v>0</v>
      </c>
    </row>
    <row r="15" spans="1:7" x14ac:dyDescent="0.35">
      <c r="A15" t="s">
        <v>138</v>
      </c>
      <c r="B15" t="s">
        <v>50</v>
      </c>
      <c r="C15">
        <f t="shared" si="0"/>
        <v>15</v>
      </c>
      <c r="D15" t="str">
        <f t="shared" si="1"/>
        <v>142</v>
      </c>
      <c r="E15" t="str">
        <f>Contents!D23</f>
        <v>Overall, how satisfied or unsatisfied are you with the speed and reliability of your Internet connection in the following locations?: At home</v>
      </c>
      <c r="F15">
        <f>Contents!C23</f>
        <v>15</v>
      </c>
      <c r="G15" t="str">
        <f>Contents!E23</f>
        <v>142</v>
      </c>
    </row>
    <row r="16" spans="1:7" x14ac:dyDescent="0.35">
      <c r="A16" t="s">
        <v>139</v>
      </c>
      <c r="B16" t="s">
        <v>50</v>
      </c>
      <c r="C16">
        <f t="shared" si="0"/>
        <v>16</v>
      </c>
      <c r="D16" t="str">
        <f t="shared" si="1"/>
        <v>154</v>
      </c>
      <c r="E16" t="str">
        <f>Contents!D24</f>
        <v>Overall, how satisfied or unsatisfied are you with the speed and reliability of your Internet connection in the following locations?: While travelling</v>
      </c>
      <c r="F16">
        <f>Contents!C24</f>
        <v>16</v>
      </c>
      <c r="G16" t="str">
        <f>Contents!E24</f>
        <v>154</v>
      </c>
    </row>
    <row r="17" spans="1:7" x14ac:dyDescent="0.35">
      <c r="A17" t="s">
        <v>140</v>
      </c>
      <c r="B17" t="s">
        <v>532</v>
      </c>
      <c r="C17">
        <f t="shared" si="0"/>
        <v>17</v>
      </c>
      <c r="D17" t="str">
        <f t="shared" si="1"/>
        <v>166</v>
      </c>
      <c r="E17" t="str">
        <f>Contents!D25</f>
        <v>Overall, how satisfied or unsatisfied are you with the speed and reliability of your Internet connection in the following locations?: At work</v>
      </c>
      <c r="F17">
        <f>Contents!C25</f>
        <v>17</v>
      </c>
      <c r="G17" t="str">
        <f>Contents!E25</f>
        <v>166</v>
      </c>
    </row>
    <row r="18" spans="1:7" x14ac:dyDescent="0.35">
      <c r="A18" t="s">
        <v>154</v>
      </c>
      <c r="B18" t="s">
        <v>50</v>
      </c>
      <c r="C18">
        <f t="shared" si="0"/>
        <v>18</v>
      </c>
      <c r="D18" t="str">
        <f t="shared" si="1"/>
        <v>178</v>
      </c>
      <c r="E18" t="str">
        <f>Contents!D26</f>
        <v>Which, if any, of the following activities have you used a website or app to do in the last year?Please select all that apply</v>
      </c>
      <c r="F18">
        <f>Contents!C26</f>
        <v>18</v>
      </c>
      <c r="G18" t="str">
        <f>Contents!E26</f>
        <v>178</v>
      </c>
    </row>
    <row r="19" spans="1:7" x14ac:dyDescent="0.35">
      <c r="A19" t="s">
        <v>155</v>
      </c>
      <c r="B19" t="s">
        <v>50</v>
      </c>
      <c r="C19">
        <f t="shared" si="0"/>
        <v>19</v>
      </c>
      <c r="D19" t="str">
        <f t="shared" si="1"/>
        <v>195</v>
      </c>
      <c r="E19" t="str">
        <f>Contents!D27</f>
        <v>And which, if any, of the same list activities did you use a website or app to do for the first time in the last two years?Please select all that apply</v>
      </c>
      <c r="F19">
        <f>Contents!C27</f>
        <v>19</v>
      </c>
      <c r="G19" t="str">
        <f>Contents!E27</f>
        <v>195</v>
      </c>
    </row>
    <row r="20" spans="1:7" x14ac:dyDescent="0.35">
      <c r="A20" t="s">
        <v>533</v>
      </c>
      <c r="B20" t="s">
        <v>534</v>
      </c>
      <c r="C20">
        <f t="shared" si="0"/>
        <v>20</v>
      </c>
      <c r="D20" t="str">
        <f t="shared" si="1"/>
        <v>212</v>
      </c>
      <c r="E20" t="str">
        <f>Contents!D28</f>
        <v xml:space="preserve"> How much time do you spend on an average working day working out to do something which you at first didn’t know how to do on the computer?For example, working out how to correctly format a file, share a link to a video call, or write a spreadshe...</v>
      </c>
      <c r="F20">
        <f>Contents!C28</f>
        <v>20</v>
      </c>
      <c r="G20" t="str">
        <f>Contents!E28</f>
        <v>212</v>
      </c>
    </row>
    <row r="21" spans="1:7" x14ac:dyDescent="0.35">
      <c r="A21" t="s">
        <v>182</v>
      </c>
      <c r="B21" t="s">
        <v>50</v>
      </c>
      <c r="C21">
        <f t="shared" si="0"/>
        <v>21</v>
      </c>
      <c r="D21">
        <f t="shared" si="1"/>
        <v>0</v>
      </c>
      <c r="E21" t="str">
        <f>Contents!D29</f>
        <v>Grid Summary: How confident or unconfident would you be that you could perform the following digital activities?</v>
      </c>
      <c r="F21">
        <f>Contents!C29</f>
        <v>21</v>
      </c>
      <c r="G21">
        <f>Contents!E29</f>
        <v>0</v>
      </c>
    </row>
    <row r="22" spans="1:7" x14ac:dyDescent="0.35">
      <c r="A22" t="s">
        <v>183</v>
      </c>
      <c r="B22" t="s">
        <v>50</v>
      </c>
      <c r="C22">
        <f t="shared" si="0"/>
        <v>22</v>
      </c>
      <c r="D22" t="str">
        <f t="shared" si="1"/>
        <v>222</v>
      </c>
      <c r="E22" t="str">
        <f>Contents!D30</f>
        <v>How confident or unconfident would you be that you could perform the following digital activities?: Save a document</v>
      </c>
      <c r="F22">
        <f>Contents!C30</f>
        <v>22</v>
      </c>
      <c r="G22" t="str">
        <f>Contents!E30</f>
        <v>222</v>
      </c>
    </row>
    <row r="23" spans="1:7" x14ac:dyDescent="0.35">
      <c r="A23" t="s">
        <v>184</v>
      </c>
      <c r="B23" t="s">
        <v>50</v>
      </c>
      <c r="C23">
        <f t="shared" si="0"/>
        <v>23</v>
      </c>
      <c r="D23" t="str">
        <f t="shared" si="1"/>
        <v>234</v>
      </c>
      <c r="E23" t="str">
        <f>Contents!D31</f>
        <v>How confident or unconfident would you be that you could perform the following digital activities?: Tracking changes in a document</v>
      </c>
      <c r="F23">
        <f>Contents!C31</f>
        <v>23</v>
      </c>
      <c r="G23" t="str">
        <f>Contents!E31</f>
        <v>234</v>
      </c>
    </row>
    <row r="24" spans="1:7" x14ac:dyDescent="0.35">
      <c r="A24" t="s">
        <v>185</v>
      </c>
      <c r="B24" t="s">
        <v>50</v>
      </c>
      <c r="C24">
        <f t="shared" si="0"/>
        <v>24</v>
      </c>
      <c r="D24" t="str">
        <f t="shared" si="1"/>
        <v>246</v>
      </c>
      <c r="E24" t="str">
        <f>Contents!D32</f>
        <v>How confident or unconfident would you be that you could perform the following digital activities?: Send an email</v>
      </c>
      <c r="F24">
        <f>Contents!C32</f>
        <v>24</v>
      </c>
      <c r="G24" t="str">
        <f>Contents!E32</f>
        <v>246</v>
      </c>
    </row>
    <row r="25" spans="1:7" x14ac:dyDescent="0.35">
      <c r="A25" t="s">
        <v>186</v>
      </c>
      <c r="B25" t="s">
        <v>50</v>
      </c>
      <c r="C25">
        <f t="shared" si="0"/>
        <v>25</v>
      </c>
      <c r="D25" t="str">
        <f t="shared" si="1"/>
        <v>258</v>
      </c>
      <c r="E25" t="str">
        <f>Contents!D33</f>
        <v>How confident or unconfident would you be that you could perform the following digital activities?: Share a file online</v>
      </c>
      <c r="F25">
        <f>Contents!C33</f>
        <v>25</v>
      </c>
      <c r="G25" t="str">
        <f>Contents!E33</f>
        <v>258</v>
      </c>
    </row>
    <row r="26" spans="1:7" x14ac:dyDescent="0.35">
      <c r="A26" t="s">
        <v>187</v>
      </c>
      <c r="B26" t="s">
        <v>50</v>
      </c>
      <c r="C26">
        <f t="shared" si="0"/>
        <v>26</v>
      </c>
      <c r="D26" t="str">
        <f t="shared" si="1"/>
        <v>270</v>
      </c>
      <c r="E26" t="str">
        <f>Contents!D34</f>
        <v>How confident or unconfident would you be that you could perform the following digital activities?: Post something on social media</v>
      </c>
      <c r="F26">
        <f>Contents!C34</f>
        <v>26</v>
      </c>
      <c r="G26" t="str">
        <f>Contents!E34</f>
        <v>270</v>
      </c>
    </row>
    <row r="27" spans="1:7" x14ac:dyDescent="0.35">
      <c r="A27" t="s">
        <v>188</v>
      </c>
      <c r="B27" t="s">
        <v>50</v>
      </c>
      <c r="C27">
        <f t="shared" si="0"/>
        <v>27</v>
      </c>
      <c r="D27" t="str">
        <f t="shared" si="1"/>
        <v>282</v>
      </c>
      <c r="E27" t="str">
        <f>Contents!D35</f>
        <v>How confident or unconfident would you be that you could perform the following digital activities?: Create a spreadsheet to track your budget</v>
      </c>
      <c r="F27">
        <f>Contents!C35</f>
        <v>27</v>
      </c>
      <c r="G27" t="str">
        <f>Contents!E35</f>
        <v>282</v>
      </c>
    </row>
    <row r="28" spans="1:7" x14ac:dyDescent="0.35">
      <c r="A28" t="s">
        <v>189</v>
      </c>
      <c r="B28" t="s">
        <v>50</v>
      </c>
      <c r="C28">
        <f t="shared" si="0"/>
        <v>28</v>
      </c>
      <c r="D28" t="str">
        <f t="shared" si="1"/>
        <v>294</v>
      </c>
      <c r="E28" t="str">
        <f>Contents!D36</f>
        <v>How confident or unconfident would you be that you could perform the following digital activities?: Find a good price for a product online</v>
      </c>
      <c r="F28">
        <f>Contents!C36</f>
        <v>28</v>
      </c>
      <c r="G28" t="str">
        <f>Contents!E36</f>
        <v>294</v>
      </c>
    </row>
    <row r="29" spans="1:7" x14ac:dyDescent="0.35">
      <c r="A29" t="s">
        <v>190</v>
      </c>
      <c r="B29" t="s">
        <v>50</v>
      </c>
      <c r="C29">
        <f t="shared" si="0"/>
        <v>29</v>
      </c>
      <c r="D29" t="str">
        <f t="shared" si="1"/>
        <v>306</v>
      </c>
      <c r="E29" t="str">
        <f>Contents!D37</f>
        <v>How confident or unconfident would you be that you could perform the following digital activities?: Research a topic</v>
      </c>
      <c r="F29">
        <f>Contents!C37</f>
        <v>29</v>
      </c>
      <c r="G29" t="str">
        <f>Contents!E37</f>
        <v>306</v>
      </c>
    </row>
    <row r="30" spans="1:7" x14ac:dyDescent="0.35">
      <c r="A30" t="s">
        <v>191</v>
      </c>
      <c r="B30" t="s">
        <v>50</v>
      </c>
      <c r="C30">
        <f t="shared" si="0"/>
        <v>30</v>
      </c>
      <c r="D30" t="str">
        <f t="shared" si="1"/>
        <v>318</v>
      </c>
      <c r="E30" t="str">
        <f>Contents!D38</f>
        <v>How confident or unconfident would you be that you could perform the following digital activities?: Edit a photo</v>
      </c>
      <c r="F30">
        <f>Contents!C38</f>
        <v>30</v>
      </c>
      <c r="G30" t="str">
        <f>Contents!E38</f>
        <v>318</v>
      </c>
    </row>
    <row r="31" spans="1:7" x14ac:dyDescent="0.35">
      <c r="A31" t="s">
        <v>192</v>
      </c>
      <c r="B31" t="s">
        <v>50</v>
      </c>
      <c r="C31">
        <f t="shared" si="0"/>
        <v>31</v>
      </c>
      <c r="D31" t="str">
        <f t="shared" si="1"/>
        <v>330</v>
      </c>
      <c r="E31" t="str">
        <f>Contents!D39</f>
        <v>How confident or unconfident would you be that you could perform the following digital activities?: Create your own website</v>
      </c>
      <c r="F31">
        <f>Contents!C39</f>
        <v>31</v>
      </c>
      <c r="G31" t="str">
        <f>Contents!E39</f>
        <v>330</v>
      </c>
    </row>
    <row r="32" spans="1:7" x14ac:dyDescent="0.35">
      <c r="A32" t="s">
        <v>193</v>
      </c>
      <c r="B32" t="s">
        <v>50</v>
      </c>
      <c r="C32">
        <f t="shared" si="0"/>
        <v>32</v>
      </c>
      <c r="D32" t="str">
        <f t="shared" si="1"/>
        <v>342</v>
      </c>
      <c r="E32" t="str">
        <f>Contents!D40</f>
        <v>How confident or unconfident would you be that you could perform the following digital activities?: Program a small application</v>
      </c>
      <c r="F32">
        <f>Contents!C40</f>
        <v>32</v>
      </c>
      <c r="G32" t="str">
        <f>Contents!E40</f>
        <v>342</v>
      </c>
    </row>
    <row r="33" spans="1:7" x14ac:dyDescent="0.35">
      <c r="A33" t="s">
        <v>194</v>
      </c>
      <c r="B33" t="s">
        <v>50</v>
      </c>
      <c r="C33">
        <f t="shared" si="0"/>
        <v>33</v>
      </c>
      <c r="D33" t="str">
        <f t="shared" si="1"/>
        <v>354</v>
      </c>
      <c r="E33" t="str">
        <f>Contents!D41</f>
        <v>How confident or unconfident would you be that you could perform the following digital activities?: Build a machine learning model</v>
      </c>
      <c r="F33">
        <f>Contents!C41</f>
        <v>33</v>
      </c>
      <c r="G33" t="str">
        <f>Contents!E41</f>
        <v>354</v>
      </c>
    </row>
    <row r="34" spans="1:7" x14ac:dyDescent="0.35">
      <c r="A34" t="s">
        <v>195</v>
      </c>
      <c r="B34" t="s">
        <v>50</v>
      </c>
      <c r="C34">
        <f t="shared" si="0"/>
        <v>34</v>
      </c>
      <c r="D34" t="str">
        <f t="shared" si="1"/>
        <v>366</v>
      </c>
      <c r="E34" t="str">
        <f>Contents!D42</f>
        <v>How confident or unconfident would you be that you could perform the following digital activities?: Book an appointment with a doctor</v>
      </c>
      <c r="F34">
        <f>Contents!C42</f>
        <v>34</v>
      </c>
      <c r="G34" t="str">
        <f>Contents!E42</f>
        <v>366</v>
      </c>
    </row>
    <row r="35" spans="1:7" x14ac:dyDescent="0.35">
      <c r="A35" t="s">
        <v>196</v>
      </c>
      <c r="B35" t="s">
        <v>50</v>
      </c>
      <c r="C35">
        <f t="shared" si="0"/>
        <v>35</v>
      </c>
      <c r="D35" t="str">
        <f t="shared" si="1"/>
        <v>378</v>
      </c>
      <c r="E35" t="str">
        <f>Contents!D43</f>
        <v>How confident or unconfident would you be that you could perform the following digital activities?: Schedule a video meeting</v>
      </c>
      <c r="F35">
        <f>Contents!C43</f>
        <v>35</v>
      </c>
      <c r="G35" t="str">
        <f>Contents!E43</f>
        <v>378</v>
      </c>
    </row>
    <row r="36" spans="1:7" x14ac:dyDescent="0.35">
      <c r="A36" t="s">
        <v>197</v>
      </c>
      <c r="B36" t="s">
        <v>50</v>
      </c>
      <c r="C36">
        <f t="shared" si="0"/>
        <v>36</v>
      </c>
      <c r="D36" t="str">
        <f t="shared" si="1"/>
        <v>390</v>
      </c>
      <c r="E36" t="str">
        <f>Contents!D44</f>
        <v>How confident or unconfident would you be that you could perform the following digital activities?: Use two-factor authentication</v>
      </c>
      <c r="F36">
        <f>Contents!C44</f>
        <v>36</v>
      </c>
      <c r="G36" t="str">
        <f>Contents!E44</f>
        <v>390</v>
      </c>
    </row>
    <row r="37" spans="1:7" x14ac:dyDescent="0.35">
      <c r="A37" t="s">
        <v>198</v>
      </c>
      <c r="B37" t="s">
        <v>50</v>
      </c>
      <c r="C37">
        <f t="shared" si="0"/>
        <v>37</v>
      </c>
      <c r="D37" t="str">
        <f t="shared" si="1"/>
        <v>402</v>
      </c>
      <c r="E37" t="str">
        <f>Contents!D45</f>
        <v>How confident or unconfident would you be that you could perform the following digital activities?: Edit a video</v>
      </c>
      <c r="F37">
        <f>Contents!C45</f>
        <v>37</v>
      </c>
      <c r="G37" t="str">
        <f>Contents!E45</f>
        <v>402</v>
      </c>
    </row>
    <row r="38" spans="1:7" x14ac:dyDescent="0.35">
      <c r="A38" t="s">
        <v>199</v>
      </c>
      <c r="B38" t="s">
        <v>50</v>
      </c>
      <c r="C38">
        <f t="shared" si="0"/>
        <v>38</v>
      </c>
      <c r="D38" t="str">
        <f t="shared" si="1"/>
        <v>414</v>
      </c>
      <c r="E38" t="str">
        <f>Contents!D46</f>
        <v>How confident or unconfident would you be that you could perform the following digital activities?: Analyse a large dataset that wouldn’t fit into a spreadsheet</v>
      </c>
      <c r="F38">
        <f>Contents!C46</f>
        <v>38</v>
      </c>
      <c r="G38" t="str">
        <f>Contents!E46</f>
        <v>414</v>
      </c>
    </row>
    <row r="39" spans="1:7" x14ac:dyDescent="0.35">
      <c r="A39" t="s">
        <v>225</v>
      </c>
      <c r="B39" t="s">
        <v>50</v>
      </c>
      <c r="C39">
        <f t="shared" si="0"/>
        <v>39</v>
      </c>
      <c r="D39">
        <f t="shared" si="1"/>
        <v>0</v>
      </c>
      <c r="E39" t="str">
        <f>Contents!D47</f>
        <v>Grid Summary: In the last three months, have you used the Internet or a software to do any of the following?</v>
      </c>
      <c r="F39">
        <f>Contents!C47</f>
        <v>39</v>
      </c>
      <c r="G39">
        <f>Contents!E47</f>
        <v>0</v>
      </c>
    </row>
    <row r="40" spans="1:7" x14ac:dyDescent="0.35">
      <c r="A40" t="s">
        <v>226</v>
      </c>
      <c r="B40" t="s">
        <v>50</v>
      </c>
      <c r="C40">
        <f t="shared" si="0"/>
        <v>40</v>
      </c>
      <c r="D40" t="str">
        <f t="shared" si="1"/>
        <v>426</v>
      </c>
      <c r="E40" t="str">
        <f>Contents!D48</f>
        <v>In the last three months, have you used the Internet or a software to do any of the following?: Copied or moved files or folders</v>
      </c>
      <c r="F40">
        <f>Contents!C48</f>
        <v>40</v>
      </c>
      <c r="G40" t="str">
        <f>Contents!E48</f>
        <v>426</v>
      </c>
    </row>
    <row r="41" spans="1:7" x14ac:dyDescent="0.35">
      <c r="A41" t="s">
        <v>227</v>
      </c>
      <c r="B41" t="s">
        <v>50</v>
      </c>
      <c r="C41">
        <f t="shared" si="0"/>
        <v>41</v>
      </c>
      <c r="D41" t="str">
        <f t="shared" si="1"/>
        <v>432</v>
      </c>
      <c r="E41" t="str">
        <f>Contents!D49</f>
        <v>In the last three months, have you used the Internet or a software to do any of the following?: Saved files on Internet storage space</v>
      </c>
      <c r="F41">
        <f>Contents!C49</f>
        <v>41</v>
      </c>
      <c r="G41" t="str">
        <f>Contents!E49</f>
        <v>432</v>
      </c>
    </row>
    <row r="42" spans="1:7" x14ac:dyDescent="0.35">
      <c r="A42" t="s">
        <v>228</v>
      </c>
      <c r="B42" t="s">
        <v>50</v>
      </c>
      <c r="C42">
        <f t="shared" si="0"/>
        <v>42</v>
      </c>
      <c r="D42" t="str">
        <f t="shared" si="1"/>
        <v>438</v>
      </c>
      <c r="E42" t="str">
        <f>Contents!D50</f>
        <v>In the last three months, have you used the Internet or a software to do any of the following?: Obtained information from public authorities/services' websites</v>
      </c>
      <c r="F42">
        <f>Contents!C50</f>
        <v>42</v>
      </c>
      <c r="G42" t="str">
        <f>Contents!E50</f>
        <v>438</v>
      </c>
    </row>
    <row r="43" spans="1:7" x14ac:dyDescent="0.35">
      <c r="A43" t="s">
        <v>229</v>
      </c>
      <c r="B43" t="s">
        <v>50</v>
      </c>
      <c r="C43">
        <f t="shared" si="0"/>
        <v>43</v>
      </c>
      <c r="D43" t="str">
        <f t="shared" si="1"/>
        <v>444</v>
      </c>
      <c r="E43" t="str">
        <f>Contents!D51</f>
        <v>In the last three months, have you used the Internet or a software to do any of the following?: Finding information about goods or services</v>
      </c>
      <c r="F43">
        <f>Contents!C51</f>
        <v>43</v>
      </c>
      <c r="G43" t="str">
        <f>Contents!E51</f>
        <v>444</v>
      </c>
    </row>
    <row r="44" spans="1:7" x14ac:dyDescent="0.35">
      <c r="A44" t="s">
        <v>230</v>
      </c>
      <c r="B44" t="s">
        <v>50</v>
      </c>
      <c r="C44">
        <f t="shared" si="0"/>
        <v>44</v>
      </c>
      <c r="D44" t="str">
        <f t="shared" si="1"/>
        <v>450</v>
      </c>
      <c r="E44" t="str">
        <f>Contents!D52</f>
        <v>In the last three months, have you used the Internet or a software to do any of the following?: Seeking health-related information</v>
      </c>
      <c r="F44">
        <f>Contents!C52</f>
        <v>44</v>
      </c>
      <c r="G44" t="str">
        <f>Contents!E52</f>
        <v>450</v>
      </c>
    </row>
    <row r="45" spans="1:7" x14ac:dyDescent="0.35">
      <c r="A45" t="s">
        <v>231</v>
      </c>
      <c r="B45" t="s">
        <v>50</v>
      </c>
      <c r="C45">
        <f t="shared" si="0"/>
        <v>45</v>
      </c>
      <c r="D45" t="str">
        <f t="shared" si="1"/>
        <v>456</v>
      </c>
      <c r="E45" t="str">
        <f>Contents!D53</f>
        <v>In the last three months, have you used the Internet or a software to do any of the following?: Sending/receiving emails</v>
      </c>
      <c r="F45">
        <f>Contents!C53</f>
        <v>45</v>
      </c>
      <c r="G45" t="str">
        <f>Contents!E53</f>
        <v>456</v>
      </c>
    </row>
    <row r="46" spans="1:7" x14ac:dyDescent="0.35">
      <c r="A46" t="s">
        <v>232</v>
      </c>
      <c r="B46" t="s">
        <v>50</v>
      </c>
      <c r="C46">
        <f t="shared" si="0"/>
        <v>46</v>
      </c>
      <c r="D46" t="str">
        <f t="shared" si="1"/>
        <v>462</v>
      </c>
      <c r="E46" t="str">
        <f>Contents!D54</f>
        <v>In the last three months, have you used the Internet or a software to do any of the following?: Participating in social networks</v>
      </c>
      <c r="F46">
        <f>Contents!C54</f>
        <v>46</v>
      </c>
      <c r="G46" t="str">
        <f>Contents!E54</f>
        <v>462</v>
      </c>
    </row>
    <row r="47" spans="1:7" x14ac:dyDescent="0.35">
      <c r="A47" t="s">
        <v>233</v>
      </c>
      <c r="B47" t="s">
        <v>50</v>
      </c>
      <c r="C47">
        <f t="shared" si="0"/>
        <v>47</v>
      </c>
      <c r="D47" t="str">
        <f t="shared" si="1"/>
        <v>468</v>
      </c>
      <c r="E47" t="str">
        <f>Contents!D55</f>
        <v>In the last three months, have you used the Internet or a software to do any of the following?: Telephoning/video calls over the internet</v>
      </c>
      <c r="F47">
        <f>Contents!C55</f>
        <v>47</v>
      </c>
      <c r="G47" t="str">
        <f>Contents!E55</f>
        <v>468</v>
      </c>
    </row>
    <row r="48" spans="1:7" x14ac:dyDescent="0.35">
      <c r="A48" t="s">
        <v>234</v>
      </c>
      <c r="B48" t="s">
        <v>50</v>
      </c>
      <c r="C48">
        <f t="shared" si="0"/>
        <v>48</v>
      </c>
      <c r="D48" t="str">
        <f t="shared" si="1"/>
        <v>474</v>
      </c>
      <c r="E48" t="str">
        <f>Contents!D56</f>
        <v>In the last three months, have you used the Internet or a software to do any of the following?: Uploading self-created content to any website to be shared</v>
      </c>
      <c r="F48">
        <f>Contents!C56</f>
        <v>48</v>
      </c>
      <c r="G48" t="str">
        <f>Contents!E56</f>
        <v>474</v>
      </c>
    </row>
    <row r="49" spans="1:7" x14ac:dyDescent="0.35">
      <c r="A49" t="s">
        <v>235</v>
      </c>
      <c r="B49" t="s">
        <v>50</v>
      </c>
      <c r="C49">
        <f t="shared" si="0"/>
        <v>49</v>
      </c>
      <c r="D49" t="str">
        <f t="shared" si="1"/>
        <v>480</v>
      </c>
      <c r="E49" t="str">
        <f>Contents!D57</f>
        <v>In the last three months, have you used the Internet or a software to do any of the following?: Transferring files between computers or other devices</v>
      </c>
      <c r="F49">
        <f>Contents!C57</f>
        <v>49</v>
      </c>
      <c r="G49" t="str">
        <f>Contents!E57</f>
        <v>480</v>
      </c>
    </row>
    <row r="50" spans="1:7" x14ac:dyDescent="0.35">
      <c r="A50" t="s">
        <v>236</v>
      </c>
      <c r="B50" t="s">
        <v>50</v>
      </c>
      <c r="C50">
        <f t="shared" si="0"/>
        <v>50</v>
      </c>
      <c r="D50" t="str">
        <f t="shared" si="1"/>
        <v>486</v>
      </c>
      <c r="E50" t="str">
        <f>Contents!D58</f>
        <v>In the last three months, have you used the Internet or a software to do any of the following?: Installing software and applications (apps)</v>
      </c>
      <c r="F50">
        <f>Contents!C58</f>
        <v>50</v>
      </c>
      <c r="G50" t="str">
        <f>Contents!E58</f>
        <v>486</v>
      </c>
    </row>
    <row r="51" spans="1:7" x14ac:dyDescent="0.35">
      <c r="A51" t="s">
        <v>237</v>
      </c>
      <c r="B51" t="s">
        <v>50</v>
      </c>
      <c r="C51">
        <f t="shared" si="0"/>
        <v>51</v>
      </c>
      <c r="D51" t="str">
        <f t="shared" si="1"/>
        <v>492</v>
      </c>
      <c r="E51" t="str">
        <f>Contents!D59</f>
        <v>In the last three months, have you used the Internet or a software to do any of the following?: Changing settings of any software, including operational system or security programs</v>
      </c>
      <c r="F51">
        <f>Contents!C59</f>
        <v>51</v>
      </c>
      <c r="G51" t="str">
        <f>Contents!E59</f>
        <v>492</v>
      </c>
    </row>
    <row r="52" spans="1:7" x14ac:dyDescent="0.35">
      <c r="A52" t="s">
        <v>238</v>
      </c>
      <c r="B52" t="s">
        <v>50</v>
      </c>
      <c r="C52">
        <f t="shared" si="0"/>
        <v>52</v>
      </c>
      <c r="D52" t="str">
        <f t="shared" si="1"/>
        <v>498</v>
      </c>
      <c r="E52" t="str">
        <f>Contents!D60</f>
        <v>In the last three months, have you used the Internet or a software to do any of the following?: Online purchases</v>
      </c>
      <c r="F52">
        <f>Contents!C60</f>
        <v>52</v>
      </c>
      <c r="G52" t="str">
        <f>Contents!E60</f>
        <v>498</v>
      </c>
    </row>
    <row r="53" spans="1:7" x14ac:dyDescent="0.35">
      <c r="A53" t="s">
        <v>239</v>
      </c>
      <c r="B53" t="s">
        <v>50</v>
      </c>
      <c r="C53">
        <f t="shared" si="0"/>
        <v>53</v>
      </c>
      <c r="D53" t="str">
        <f t="shared" si="1"/>
        <v>504</v>
      </c>
      <c r="E53" t="str">
        <f>Contents!D61</f>
        <v>In the last three months, have you used the Internet or a software to do any of the following?: Selling online</v>
      </c>
      <c r="F53">
        <f>Contents!C61</f>
        <v>53</v>
      </c>
      <c r="G53" t="str">
        <f>Contents!E61</f>
        <v>504</v>
      </c>
    </row>
    <row r="54" spans="1:7" x14ac:dyDescent="0.35">
      <c r="A54" t="s">
        <v>240</v>
      </c>
      <c r="B54" t="s">
        <v>50</v>
      </c>
      <c r="C54">
        <f t="shared" si="0"/>
        <v>54</v>
      </c>
      <c r="D54" t="str">
        <f t="shared" si="1"/>
        <v>510</v>
      </c>
      <c r="E54" t="str">
        <f>Contents!D62</f>
        <v>In the last three months, have you used the Internet or a software to do any of the following?: Used online learning resources</v>
      </c>
      <c r="F54">
        <f>Contents!C62</f>
        <v>54</v>
      </c>
      <c r="G54" t="str">
        <f>Contents!E62</f>
        <v>510</v>
      </c>
    </row>
    <row r="55" spans="1:7" x14ac:dyDescent="0.35">
      <c r="A55" t="s">
        <v>241</v>
      </c>
      <c r="B55" t="s">
        <v>50</v>
      </c>
      <c r="C55">
        <f t="shared" si="0"/>
        <v>55</v>
      </c>
      <c r="D55" t="str">
        <f t="shared" si="1"/>
        <v>516</v>
      </c>
      <c r="E55" t="str">
        <f>Contents!D63</f>
        <v>In the last three months, have you used the Internet or a software to do any of the following?: Internet banking</v>
      </c>
      <c r="F55">
        <f>Contents!C63</f>
        <v>55</v>
      </c>
      <c r="G55" t="str">
        <f>Contents!E63</f>
        <v>516</v>
      </c>
    </row>
    <row r="56" spans="1:7" x14ac:dyDescent="0.35">
      <c r="A56" t="s">
        <v>242</v>
      </c>
      <c r="B56" t="s">
        <v>50</v>
      </c>
      <c r="C56">
        <f t="shared" si="0"/>
        <v>56</v>
      </c>
      <c r="D56" t="str">
        <f t="shared" si="1"/>
        <v>522</v>
      </c>
      <c r="E56" t="str">
        <f>Contents!D64</f>
        <v>In the last three months, have you used the Internet or a software to do any of the following?: Used word processing software</v>
      </c>
      <c r="F56">
        <f>Contents!C64</f>
        <v>56</v>
      </c>
      <c r="G56" t="str">
        <f>Contents!E64</f>
        <v>522</v>
      </c>
    </row>
    <row r="57" spans="1:7" x14ac:dyDescent="0.35">
      <c r="A57" t="s">
        <v>243</v>
      </c>
      <c r="B57" t="s">
        <v>50</v>
      </c>
      <c r="C57">
        <f t="shared" si="0"/>
        <v>57</v>
      </c>
      <c r="D57" t="str">
        <f t="shared" si="1"/>
        <v>528</v>
      </c>
      <c r="E57" t="str">
        <f>Contents!D65</f>
        <v>In the last three months, have you used the Internet or a software to do any of the following?: Used spreadsheet software</v>
      </c>
      <c r="F57">
        <f>Contents!C65</f>
        <v>57</v>
      </c>
      <c r="G57" t="str">
        <f>Contents!E65</f>
        <v>528</v>
      </c>
    </row>
    <row r="58" spans="1:7" x14ac:dyDescent="0.35">
      <c r="A58" t="s">
        <v>244</v>
      </c>
      <c r="B58" t="s">
        <v>50</v>
      </c>
      <c r="C58">
        <f t="shared" si="0"/>
        <v>58</v>
      </c>
      <c r="D58" t="str">
        <f t="shared" si="1"/>
        <v>534</v>
      </c>
      <c r="E58" t="str">
        <f>Contents!D66</f>
        <v>In the last three months, have you used the Internet or a software to do any of the following?: Used software to edit photos, video or audio files</v>
      </c>
      <c r="F58">
        <f>Contents!C66</f>
        <v>58</v>
      </c>
      <c r="G58" t="str">
        <f>Contents!E66</f>
        <v>534</v>
      </c>
    </row>
    <row r="59" spans="1:7" x14ac:dyDescent="0.35">
      <c r="A59" t="s">
        <v>245</v>
      </c>
      <c r="B59" t="s">
        <v>50</v>
      </c>
      <c r="C59">
        <f t="shared" si="0"/>
        <v>59</v>
      </c>
      <c r="D59" t="str">
        <f t="shared" si="1"/>
        <v>540</v>
      </c>
      <c r="E59" t="str">
        <f>Contents!D67</f>
        <v>In the last three months, have you used the Internet or a software to do any of the following?: Created presentation or document integrating text, pictures, tables or charts</v>
      </c>
      <c r="F59">
        <f>Contents!C67</f>
        <v>59</v>
      </c>
      <c r="G59" t="str">
        <f>Contents!E67</f>
        <v>540</v>
      </c>
    </row>
    <row r="60" spans="1:7" x14ac:dyDescent="0.35">
      <c r="A60" t="s">
        <v>246</v>
      </c>
      <c r="B60" t="s">
        <v>50</v>
      </c>
      <c r="C60">
        <f t="shared" si="0"/>
        <v>60</v>
      </c>
      <c r="D60" t="str">
        <f t="shared" si="1"/>
        <v>546</v>
      </c>
      <c r="E60" t="str">
        <f>Contents!D68</f>
        <v>In the last three months, have you used the Internet or a software to do any of the following?: Used advanced functions of spreadsheet to organise and analyse data (sorting, filtering, using formulas, creating charts)</v>
      </c>
      <c r="F60">
        <f>Contents!C68</f>
        <v>60</v>
      </c>
      <c r="G60" t="str">
        <f>Contents!E68</f>
        <v>546</v>
      </c>
    </row>
    <row r="61" spans="1:7" x14ac:dyDescent="0.35">
      <c r="A61" t="s">
        <v>247</v>
      </c>
      <c r="B61" t="s">
        <v>50</v>
      </c>
      <c r="C61">
        <f t="shared" si="0"/>
        <v>61</v>
      </c>
      <c r="D61" t="str">
        <f t="shared" si="1"/>
        <v>552</v>
      </c>
      <c r="E61" t="str">
        <f>Contents!D69</f>
        <v>In the last three months, have you used the Internet or a software to do any of the following?: Have written a code in a programming language</v>
      </c>
      <c r="F61">
        <f>Contents!C69</f>
        <v>61</v>
      </c>
      <c r="G61" t="str">
        <f>Contents!E69</f>
        <v>552</v>
      </c>
    </row>
    <row r="62" spans="1:7" x14ac:dyDescent="0.35">
      <c r="A62" t="s">
        <v>256</v>
      </c>
      <c r="B62" t="s">
        <v>50</v>
      </c>
      <c r="C62">
        <f t="shared" si="0"/>
        <v>62</v>
      </c>
      <c r="D62" t="str">
        <f t="shared" si="1"/>
        <v>558</v>
      </c>
      <c r="E62" t="str">
        <f>Contents!D70</f>
        <v>Where did you learn the majority of your own digital skills?Please select all that apply</v>
      </c>
      <c r="F62">
        <f>Contents!C70</f>
        <v>62</v>
      </c>
      <c r="G62" t="str">
        <f>Contents!E70</f>
        <v>558</v>
      </c>
    </row>
    <row r="63" spans="1:7" x14ac:dyDescent="0.35">
      <c r="A63" t="s">
        <v>267</v>
      </c>
      <c r="B63" t="s">
        <v>50</v>
      </c>
      <c r="C63">
        <f t="shared" si="0"/>
        <v>63</v>
      </c>
      <c r="D63" t="str">
        <f t="shared" si="1"/>
        <v>571</v>
      </c>
      <c r="E63" t="str">
        <f>Contents!D71</f>
        <v>Which digital skills do you think it is important for an average worker to be able to do today?Please select all that apply</v>
      </c>
      <c r="F63">
        <f>Contents!C71</f>
        <v>63</v>
      </c>
      <c r="G63" t="str">
        <f>Contents!E71</f>
        <v>571</v>
      </c>
    </row>
    <row r="64" spans="1:7" x14ac:dyDescent="0.35">
      <c r="A64" t="s">
        <v>268</v>
      </c>
      <c r="B64" t="s">
        <v>50</v>
      </c>
      <c r="C64">
        <f t="shared" si="0"/>
        <v>64</v>
      </c>
      <c r="D64" t="str">
        <f t="shared" si="1"/>
        <v>586</v>
      </c>
      <c r="E64" t="str">
        <f>Contents!D72</f>
        <v>And which digital skills do you think it is not important for an average worker to be able to do today?Please select all that apply</v>
      </c>
      <c r="F64">
        <f>Contents!C72</f>
        <v>64</v>
      </c>
      <c r="G64" t="str">
        <f>Contents!E72</f>
        <v>586</v>
      </c>
    </row>
    <row r="65" spans="1:7" x14ac:dyDescent="0.35">
      <c r="A65" t="s">
        <v>283</v>
      </c>
      <c r="B65" t="s">
        <v>535</v>
      </c>
      <c r="C65">
        <f t="shared" si="0"/>
        <v>65</v>
      </c>
      <c r="D65">
        <f t="shared" si="1"/>
        <v>0</v>
      </c>
      <c r="E65" t="str">
        <f>Contents!D73</f>
        <v>Grid Summary: How important or unimportant is it to you that your child/children learn the following digital skills in school?</v>
      </c>
      <c r="F65">
        <f>Contents!C73</f>
        <v>65</v>
      </c>
      <c r="G65">
        <f>Contents!E73</f>
        <v>0</v>
      </c>
    </row>
    <row r="66" spans="1:7" x14ac:dyDescent="0.35">
      <c r="A66" t="s">
        <v>284</v>
      </c>
      <c r="B66" t="s">
        <v>535</v>
      </c>
      <c r="C66">
        <f t="shared" ref="C66:C129" si="2">IFERROR(VLOOKUP(A66, E66:G265, 2, FALSE), 0)</f>
        <v>66</v>
      </c>
      <c r="D66" t="str">
        <f t="shared" ref="D66:D129" si="3">IFERROR(VLOOKUP(A66, E66:G265, 3, FALSE), 0)</f>
        <v>601</v>
      </c>
      <c r="E66" t="str">
        <f>Contents!D74</f>
        <v>How important or unimportant is it to you that your child/children learn the following digital skills in school?: Share a document online</v>
      </c>
      <c r="F66">
        <f>Contents!C74</f>
        <v>66</v>
      </c>
      <c r="G66" t="str">
        <f>Contents!E74</f>
        <v>601</v>
      </c>
    </row>
    <row r="67" spans="1:7" x14ac:dyDescent="0.35">
      <c r="A67" t="s">
        <v>285</v>
      </c>
      <c r="B67" t="s">
        <v>535</v>
      </c>
      <c r="C67">
        <f t="shared" si="2"/>
        <v>67</v>
      </c>
      <c r="D67" t="str">
        <f t="shared" si="3"/>
        <v>613</v>
      </c>
      <c r="E67" t="str">
        <f>Contents!D75</f>
        <v>How important or unimportant is it to you that your child/children learn the following digital skills in school?: Tracking changes in a document</v>
      </c>
      <c r="F67">
        <f>Contents!C75</f>
        <v>67</v>
      </c>
      <c r="G67" t="str">
        <f>Contents!E75</f>
        <v>613</v>
      </c>
    </row>
    <row r="68" spans="1:7" x14ac:dyDescent="0.35">
      <c r="A68" t="s">
        <v>286</v>
      </c>
      <c r="B68" t="s">
        <v>535</v>
      </c>
      <c r="C68">
        <f t="shared" si="2"/>
        <v>68</v>
      </c>
      <c r="D68" t="str">
        <f t="shared" si="3"/>
        <v>625</v>
      </c>
      <c r="E68" t="str">
        <f>Contents!D76</f>
        <v>How important or unimportant is it to you that your child/children learn the following digital skills in school?: Posting responsibly on social media</v>
      </c>
      <c r="F68">
        <f>Contents!C76</f>
        <v>68</v>
      </c>
      <c r="G68" t="str">
        <f>Contents!E76</f>
        <v>625</v>
      </c>
    </row>
    <row r="69" spans="1:7" x14ac:dyDescent="0.35">
      <c r="A69" t="s">
        <v>287</v>
      </c>
      <c r="B69" t="s">
        <v>535</v>
      </c>
      <c r="C69">
        <f t="shared" si="2"/>
        <v>69</v>
      </c>
      <c r="D69" t="str">
        <f t="shared" si="3"/>
        <v>637</v>
      </c>
      <c r="E69" t="str">
        <f>Contents!D77</f>
        <v>How important or unimportant is it to you that your child/children learn the following digital skills in school?: Researching a topic online</v>
      </c>
      <c r="F69">
        <f>Contents!C77</f>
        <v>69</v>
      </c>
      <c r="G69" t="str">
        <f>Contents!E77</f>
        <v>637</v>
      </c>
    </row>
    <row r="70" spans="1:7" x14ac:dyDescent="0.35">
      <c r="A70" t="s">
        <v>288</v>
      </c>
      <c r="B70" t="s">
        <v>535</v>
      </c>
      <c r="C70">
        <f t="shared" si="2"/>
        <v>70</v>
      </c>
      <c r="D70" t="str">
        <f t="shared" si="3"/>
        <v>649</v>
      </c>
      <c r="E70" t="str">
        <f>Contents!D78</f>
        <v>How important or unimportant is it to you that your child/children learn the following digital skills in school?: Backing up their data</v>
      </c>
      <c r="F70">
        <f>Contents!C78</f>
        <v>70</v>
      </c>
      <c r="G70" t="str">
        <f>Contents!E78</f>
        <v>649</v>
      </c>
    </row>
    <row r="71" spans="1:7" x14ac:dyDescent="0.35">
      <c r="A71" t="s">
        <v>289</v>
      </c>
      <c r="B71" t="s">
        <v>535</v>
      </c>
      <c r="C71">
        <f t="shared" si="2"/>
        <v>71</v>
      </c>
      <c r="D71" t="str">
        <f t="shared" si="3"/>
        <v>661</v>
      </c>
      <c r="E71" t="str">
        <f>Contents!D79</f>
        <v>How important or unimportant is it to you that your child/children learn the following digital skills in school?: Creating a basic spreadsheet</v>
      </c>
      <c r="F71">
        <f>Contents!C79</f>
        <v>71</v>
      </c>
      <c r="G71" t="str">
        <f>Contents!E79</f>
        <v>661</v>
      </c>
    </row>
    <row r="72" spans="1:7" x14ac:dyDescent="0.35">
      <c r="A72" t="s">
        <v>290</v>
      </c>
      <c r="B72" t="s">
        <v>535</v>
      </c>
      <c r="C72">
        <f t="shared" si="2"/>
        <v>72</v>
      </c>
      <c r="D72" t="str">
        <f t="shared" si="3"/>
        <v>673</v>
      </c>
      <c r="E72" t="str">
        <f>Contents!D80</f>
        <v>How important or unimportant is it to you that your child/children learn the following digital skills in school?: Learning how to program</v>
      </c>
      <c r="F72">
        <f>Contents!C80</f>
        <v>72</v>
      </c>
      <c r="G72" t="str">
        <f>Contents!E80</f>
        <v>673</v>
      </c>
    </row>
    <row r="73" spans="1:7" x14ac:dyDescent="0.35">
      <c r="A73" t="s">
        <v>291</v>
      </c>
      <c r="B73" t="s">
        <v>535</v>
      </c>
      <c r="C73">
        <f t="shared" si="2"/>
        <v>73</v>
      </c>
      <c r="D73" t="str">
        <f t="shared" si="3"/>
        <v>685</v>
      </c>
      <c r="E73" t="str">
        <f>Contents!D81</f>
        <v>How important or unimportant is it to you that your child/children learn the following digital skills in school?: Create their own website</v>
      </c>
      <c r="F73">
        <f>Contents!C81</f>
        <v>73</v>
      </c>
      <c r="G73" t="str">
        <f>Contents!E81</f>
        <v>685</v>
      </c>
    </row>
    <row r="74" spans="1:7" x14ac:dyDescent="0.35">
      <c r="A74" t="s">
        <v>292</v>
      </c>
      <c r="B74" t="s">
        <v>535</v>
      </c>
      <c r="C74">
        <f t="shared" si="2"/>
        <v>74</v>
      </c>
      <c r="D74" t="str">
        <f t="shared" si="3"/>
        <v>697</v>
      </c>
      <c r="E74" t="str">
        <f>Contents!D82</f>
        <v>How important or unimportant is it to you that your child/children learn the following digital skills in school?: Build a machine learning model</v>
      </c>
      <c r="F74">
        <f>Contents!C82</f>
        <v>74</v>
      </c>
      <c r="G74" t="str">
        <f>Contents!E82</f>
        <v>697</v>
      </c>
    </row>
    <row r="75" spans="1:7" x14ac:dyDescent="0.35">
      <c r="A75" t="s">
        <v>299</v>
      </c>
      <c r="B75" t="s">
        <v>50</v>
      </c>
      <c r="C75">
        <f t="shared" si="2"/>
        <v>75</v>
      </c>
      <c r="D75">
        <f t="shared" si="3"/>
        <v>0</v>
      </c>
      <c r="E75" t="str">
        <f>Contents!D83</f>
        <v>Grid Summary: When choosing a digital product or service, how important or unimportant do the following features of the service tend to be?</v>
      </c>
      <c r="F75">
        <f>Contents!C83</f>
        <v>75</v>
      </c>
      <c r="G75">
        <f>Contents!E83</f>
        <v>0</v>
      </c>
    </row>
    <row r="76" spans="1:7" x14ac:dyDescent="0.35">
      <c r="A76" t="s">
        <v>300</v>
      </c>
      <c r="B76" t="s">
        <v>50</v>
      </c>
      <c r="C76">
        <f t="shared" si="2"/>
        <v>76</v>
      </c>
      <c r="D76" t="str">
        <f t="shared" si="3"/>
        <v>709</v>
      </c>
      <c r="E76" t="str">
        <f>Contents!D84</f>
        <v>When choosing a digital product or service, how important or unimportant do the following features of the service tend to be?: Price</v>
      </c>
      <c r="F76">
        <f>Contents!C84</f>
        <v>76</v>
      </c>
      <c r="G76" t="str">
        <f>Contents!E84</f>
        <v>709</v>
      </c>
    </row>
    <row r="77" spans="1:7" x14ac:dyDescent="0.35">
      <c r="A77" t="s">
        <v>301</v>
      </c>
      <c r="B77" t="s">
        <v>50</v>
      </c>
      <c r="C77">
        <f t="shared" si="2"/>
        <v>77</v>
      </c>
      <c r="D77" t="str">
        <f t="shared" si="3"/>
        <v>721</v>
      </c>
      <c r="E77" t="str">
        <f>Contents!D85</f>
        <v>When choosing a digital product or service, how important or unimportant do the following features of the service tend to be?: How easy the service is to use</v>
      </c>
      <c r="F77">
        <f>Contents!C85</f>
        <v>77</v>
      </c>
      <c r="G77" t="str">
        <f>Contents!E85</f>
        <v>721</v>
      </c>
    </row>
    <row r="78" spans="1:7" x14ac:dyDescent="0.35">
      <c r="A78" t="s">
        <v>302</v>
      </c>
      <c r="B78" t="s">
        <v>50</v>
      </c>
      <c r="C78">
        <f t="shared" si="2"/>
        <v>78</v>
      </c>
      <c r="D78" t="str">
        <f t="shared" si="3"/>
        <v>733</v>
      </c>
      <c r="E78" t="str">
        <f>Contents!D86</f>
        <v>When choosing a digital product or service, how important or unimportant do the following features of the service tend to be?: Features offered by the service</v>
      </c>
      <c r="F78">
        <f>Contents!C86</f>
        <v>78</v>
      </c>
      <c r="G78" t="str">
        <f>Contents!E86</f>
        <v>733</v>
      </c>
    </row>
    <row r="79" spans="1:7" x14ac:dyDescent="0.35">
      <c r="A79" t="s">
        <v>303</v>
      </c>
      <c r="B79" t="s">
        <v>50</v>
      </c>
      <c r="C79">
        <f t="shared" si="2"/>
        <v>79</v>
      </c>
      <c r="D79" t="str">
        <f t="shared" si="3"/>
        <v>745</v>
      </c>
      <c r="E79" t="str">
        <f>Contents!D87</f>
        <v>When choosing a digital product or service, how important or unimportant do the following features of the service tend to be?: Ensuring data privacy</v>
      </c>
      <c r="F79">
        <f>Contents!C87</f>
        <v>79</v>
      </c>
      <c r="G79" t="str">
        <f>Contents!E87</f>
        <v>745</v>
      </c>
    </row>
    <row r="80" spans="1:7" x14ac:dyDescent="0.35">
      <c r="A80" t="s">
        <v>304</v>
      </c>
      <c r="B80" t="s">
        <v>50</v>
      </c>
      <c r="C80">
        <f t="shared" si="2"/>
        <v>80</v>
      </c>
      <c r="D80" t="str">
        <f t="shared" si="3"/>
        <v>757</v>
      </c>
      <c r="E80" t="str">
        <f>Contents!D88</f>
        <v>When choosing a digital product or service, how important or unimportant do the following features of the service tend to be?: Low carbon footprint</v>
      </c>
      <c r="F80">
        <f>Contents!C88</f>
        <v>80</v>
      </c>
      <c r="G80" t="str">
        <f>Contents!E88</f>
        <v>757</v>
      </c>
    </row>
    <row r="81" spans="1:7" x14ac:dyDescent="0.35">
      <c r="A81" t="s">
        <v>311</v>
      </c>
      <c r="B81" t="s">
        <v>534</v>
      </c>
      <c r="C81">
        <f t="shared" si="2"/>
        <v>81</v>
      </c>
      <c r="D81" t="str">
        <f t="shared" si="3"/>
        <v>769</v>
      </c>
      <c r="E81" t="str">
        <f>Contents!D89</f>
        <v xml:space="preserve"> Which, if any, of the following descriptions best matches your current work?</v>
      </c>
      <c r="F81">
        <f>Contents!C89</f>
        <v>81</v>
      </c>
      <c r="G81" t="str">
        <f>Contents!E89</f>
        <v>769</v>
      </c>
    </row>
    <row r="82" spans="1:7" x14ac:dyDescent="0.35">
      <c r="A82" t="s">
        <v>325</v>
      </c>
      <c r="B82" t="s">
        <v>534</v>
      </c>
      <c r="C82">
        <f t="shared" si="2"/>
        <v>82</v>
      </c>
      <c r="D82">
        <f t="shared" si="3"/>
        <v>0</v>
      </c>
      <c r="E82" t="str">
        <f>Contents!D90</f>
        <v>Grid Summary: How important or unimportant are the following technologies to you personally in getting your job done?</v>
      </c>
      <c r="F82">
        <f>Contents!C90</f>
        <v>82</v>
      </c>
      <c r="G82">
        <f>Contents!E90</f>
        <v>0</v>
      </c>
    </row>
    <row r="83" spans="1:7" x14ac:dyDescent="0.35">
      <c r="A83" t="s">
        <v>326</v>
      </c>
      <c r="B83" t="s">
        <v>534</v>
      </c>
      <c r="C83">
        <f t="shared" si="2"/>
        <v>83</v>
      </c>
      <c r="D83" t="str">
        <f t="shared" si="3"/>
        <v>778</v>
      </c>
      <c r="E83" t="str">
        <f>Contents!D91</f>
        <v>How important or unimportant are the following technologies to you personally in getting your job done?: Smartphone</v>
      </c>
      <c r="F83">
        <f>Contents!C91</f>
        <v>83</v>
      </c>
      <c r="G83" t="str">
        <f>Contents!E91</f>
        <v>778</v>
      </c>
    </row>
    <row r="84" spans="1:7" x14ac:dyDescent="0.35">
      <c r="A84" t="s">
        <v>327</v>
      </c>
      <c r="B84" t="s">
        <v>534</v>
      </c>
      <c r="C84">
        <f t="shared" si="2"/>
        <v>84</v>
      </c>
      <c r="D84" t="str">
        <f t="shared" si="3"/>
        <v>786</v>
      </c>
      <c r="E84" t="str">
        <f>Contents!D92</f>
        <v>How important or unimportant are the following technologies to you personally in getting your job done?: Web browser</v>
      </c>
      <c r="F84">
        <f>Contents!C92</f>
        <v>84</v>
      </c>
      <c r="G84" t="str">
        <f>Contents!E92</f>
        <v>786</v>
      </c>
    </row>
    <row r="85" spans="1:7" x14ac:dyDescent="0.35">
      <c r="A85" t="s">
        <v>328</v>
      </c>
      <c r="B85" t="s">
        <v>534</v>
      </c>
      <c r="C85">
        <f t="shared" si="2"/>
        <v>85</v>
      </c>
      <c r="D85" t="str">
        <f t="shared" si="3"/>
        <v>794</v>
      </c>
      <c r="E85" t="str">
        <f>Contents!D93</f>
        <v>How important or unimportant are the following technologies to you personally in getting your job done?: Text messaging</v>
      </c>
      <c r="F85">
        <f>Contents!C93</f>
        <v>85</v>
      </c>
      <c r="G85" t="str">
        <f>Contents!E93</f>
        <v>794</v>
      </c>
    </row>
    <row r="86" spans="1:7" x14ac:dyDescent="0.35">
      <c r="A86" t="s">
        <v>329</v>
      </c>
      <c r="B86" t="s">
        <v>534</v>
      </c>
      <c r="C86">
        <f t="shared" si="2"/>
        <v>86</v>
      </c>
      <c r="D86" t="str">
        <f t="shared" si="3"/>
        <v>802</v>
      </c>
      <c r="E86" t="str">
        <f>Contents!D94</f>
        <v>How important or unimportant are the following technologies to you personally in getting your job done?: Social media</v>
      </c>
      <c r="F86">
        <f>Contents!C94</f>
        <v>86</v>
      </c>
      <c r="G86" t="str">
        <f>Contents!E94</f>
        <v>802</v>
      </c>
    </row>
    <row r="87" spans="1:7" x14ac:dyDescent="0.35">
      <c r="A87" t="s">
        <v>330</v>
      </c>
      <c r="B87" t="s">
        <v>534</v>
      </c>
      <c r="C87">
        <f t="shared" si="2"/>
        <v>87</v>
      </c>
      <c r="D87" t="str">
        <f t="shared" si="3"/>
        <v>810</v>
      </c>
      <c r="E87" t="str">
        <f>Contents!D95</f>
        <v>How important or unimportant are the following technologies to you personally in getting your job done?: Video chat</v>
      </c>
      <c r="F87">
        <f>Contents!C95</f>
        <v>87</v>
      </c>
      <c r="G87" t="str">
        <f>Contents!E95</f>
        <v>810</v>
      </c>
    </row>
    <row r="88" spans="1:7" x14ac:dyDescent="0.35">
      <c r="A88" t="s">
        <v>331</v>
      </c>
      <c r="B88" t="s">
        <v>534</v>
      </c>
      <c r="C88">
        <f t="shared" si="2"/>
        <v>88</v>
      </c>
      <c r="D88" t="str">
        <f t="shared" si="3"/>
        <v>818</v>
      </c>
      <c r="E88" t="str">
        <f>Contents!D96</f>
        <v>How important or unimportant are the following technologies to you personally in getting your job done?: Documents</v>
      </c>
      <c r="F88">
        <f>Contents!C96</f>
        <v>88</v>
      </c>
      <c r="G88" t="str">
        <f>Contents!E96</f>
        <v>818</v>
      </c>
    </row>
    <row r="89" spans="1:7" x14ac:dyDescent="0.35">
      <c r="A89" t="s">
        <v>332</v>
      </c>
      <c r="B89" t="s">
        <v>534</v>
      </c>
      <c r="C89">
        <f t="shared" si="2"/>
        <v>89</v>
      </c>
      <c r="D89" t="str">
        <f t="shared" si="3"/>
        <v>826</v>
      </c>
      <c r="E89" t="str">
        <f>Contents!D97</f>
        <v>How important or unimportant are the following technologies to you personally in getting your job done?: Spreadsheets</v>
      </c>
      <c r="F89">
        <f>Contents!C97</f>
        <v>89</v>
      </c>
      <c r="G89" t="str">
        <f>Contents!E97</f>
        <v>826</v>
      </c>
    </row>
    <row r="90" spans="1:7" x14ac:dyDescent="0.35">
      <c r="A90" t="s">
        <v>333</v>
      </c>
      <c r="B90" t="s">
        <v>534</v>
      </c>
      <c r="C90">
        <f t="shared" si="2"/>
        <v>90</v>
      </c>
      <c r="D90" t="str">
        <f t="shared" si="3"/>
        <v>834</v>
      </c>
      <c r="E90" t="str">
        <f>Contents!D98</f>
        <v>How important or unimportant are the following technologies to you personally in getting your job done?: Programming</v>
      </c>
      <c r="F90">
        <f>Contents!C98</f>
        <v>90</v>
      </c>
      <c r="G90" t="str">
        <f>Contents!E98</f>
        <v>834</v>
      </c>
    </row>
    <row r="91" spans="1:7" x14ac:dyDescent="0.35">
      <c r="A91" t="s">
        <v>334</v>
      </c>
      <c r="B91" t="s">
        <v>534</v>
      </c>
      <c r="C91">
        <f t="shared" si="2"/>
        <v>91</v>
      </c>
      <c r="D91" t="str">
        <f t="shared" si="3"/>
        <v>842</v>
      </c>
      <c r="E91" t="str">
        <f>Contents!D99</f>
        <v>How important or unimportant are the following technologies to you personally in getting your job done?: AI / Machine Learning</v>
      </c>
      <c r="F91">
        <f>Contents!C99</f>
        <v>91</v>
      </c>
      <c r="G91" t="str">
        <f>Contents!E99</f>
        <v>842</v>
      </c>
    </row>
    <row r="92" spans="1:7" x14ac:dyDescent="0.35">
      <c r="A92" t="s">
        <v>337</v>
      </c>
      <c r="B92" t="s">
        <v>534</v>
      </c>
      <c r="C92">
        <f t="shared" si="2"/>
        <v>92</v>
      </c>
      <c r="D92">
        <f t="shared" si="3"/>
        <v>0</v>
      </c>
      <c r="E92" t="str">
        <f>Contents!D100</f>
        <v>Grid Summary: And how important or unimportant are the following online tools to getting your job done?</v>
      </c>
      <c r="F92">
        <f>Contents!C100</f>
        <v>92</v>
      </c>
      <c r="G92">
        <f>Contents!E100</f>
        <v>0</v>
      </c>
    </row>
    <row r="93" spans="1:7" x14ac:dyDescent="0.35">
      <c r="A93" t="s">
        <v>338</v>
      </c>
      <c r="B93" t="s">
        <v>534</v>
      </c>
      <c r="C93">
        <f t="shared" si="2"/>
        <v>93</v>
      </c>
      <c r="D93" t="str">
        <f t="shared" si="3"/>
        <v>850</v>
      </c>
      <c r="E93" t="str">
        <f>Contents!D101</f>
        <v>And how important or unimportant are the following online tools to getting your job done?: Online documents or spreadsheets</v>
      </c>
      <c r="F93">
        <f>Contents!C101</f>
        <v>93</v>
      </c>
      <c r="G93" t="str">
        <f>Contents!E101</f>
        <v>850</v>
      </c>
    </row>
    <row r="94" spans="1:7" x14ac:dyDescent="0.35">
      <c r="A94" t="s">
        <v>339</v>
      </c>
      <c r="B94" t="s">
        <v>534</v>
      </c>
      <c r="C94">
        <f t="shared" si="2"/>
        <v>94</v>
      </c>
      <c r="D94" t="str">
        <f t="shared" si="3"/>
        <v>858</v>
      </c>
      <c r="E94" t="str">
        <f>Contents!D102</f>
        <v>And how important or unimportant are the following online tools to getting your job done?: Instant or messaging</v>
      </c>
      <c r="F94">
        <f>Contents!C102</f>
        <v>94</v>
      </c>
      <c r="G94" t="str">
        <f>Contents!E102</f>
        <v>858</v>
      </c>
    </row>
    <row r="95" spans="1:7" x14ac:dyDescent="0.35">
      <c r="A95" t="s">
        <v>340</v>
      </c>
      <c r="B95" t="s">
        <v>534</v>
      </c>
      <c r="C95">
        <f t="shared" si="2"/>
        <v>95</v>
      </c>
      <c r="D95" t="str">
        <f t="shared" si="3"/>
        <v>866</v>
      </c>
      <c r="E95" t="str">
        <f>Contents!D103</f>
        <v>And how important or unimportant are the following online tools to getting your job done?: Video chat</v>
      </c>
      <c r="F95">
        <f>Contents!C103</f>
        <v>95</v>
      </c>
      <c r="G95" t="str">
        <f>Contents!E103</f>
        <v>866</v>
      </c>
    </row>
    <row r="96" spans="1:7" x14ac:dyDescent="0.35">
      <c r="A96" t="s">
        <v>351</v>
      </c>
      <c r="B96" t="s">
        <v>534</v>
      </c>
      <c r="C96">
        <f t="shared" si="2"/>
        <v>96</v>
      </c>
      <c r="D96">
        <f t="shared" si="3"/>
        <v>0</v>
      </c>
      <c r="E96" t="str">
        <f>Contents!D104</f>
        <v>Grid Summary: To what extent are the following preventing you, or not, from getting a better paid job?</v>
      </c>
      <c r="F96">
        <f>Contents!C104</f>
        <v>96</v>
      </c>
      <c r="G96">
        <f>Contents!E104</f>
        <v>0</v>
      </c>
    </row>
    <row r="97" spans="1:7" x14ac:dyDescent="0.35">
      <c r="A97" t="s">
        <v>352</v>
      </c>
      <c r="B97" t="s">
        <v>534</v>
      </c>
      <c r="C97">
        <f t="shared" si="2"/>
        <v>97</v>
      </c>
      <c r="D97" t="str">
        <f t="shared" si="3"/>
        <v>874</v>
      </c>
      <c r="E97" t="str">
        <f>Contents!D105</f>
        <v>To what extent are the following preventing you, or not, from getting a better paid job?: Lack of digital skills</v>
      </c>
      <c r="F97">
        <f>Contents!C105</f>
        <v>97</v>
      </c>
      <c r="G97" t="str">
        <f>Contents!E105</f>
        <v>874</v>
      </c>
    </row>
    <row r="98" spans="1:7" x14ac:dyDescent="0.35">
      <c r="A98" t="s">
        <v>353</v>
      </c>
      <c r="B98" t="s">
        <v>534</v>
      </c>
      <c r="C98">
        <f t="shared" si="2"/>
        <v>98</v>
      </c>
      <c r="D98" t="str">
        <f t="shared" si="3"/>
        <v>881</v>
      </c>
      <c r="E98" t="str">
        <f>Contents!D106</f>
        <v>To what extent are the following preventing you, or not, from getting a better paid job?: Gaps in employment</v>
      </c>
      <c r="F98">
        <f>Contents!C106</f>
        <v>98</v>
      </c>
      <c r="G98" t="str">
        <f>Contents!E106</f>
        <v>881</v>
      </c>
    </row>
    <row r="99" spans="1:7" x14ac:dyDescent="0.35">
      <c r="A99" t="s">
        <v>354</v>
      </c>
      <c r="B99" t="s">
        <v>534</v>
      </c>
      <c r="C99">
        <f t="shared" si="2"/>
        <v>99</v>
      </c>
      <c r="D99" t="str">
        <f t="shared" si="3"/>
        <v>888</v>
      </c>
      <c r="E99" t="str">
        <f>Contents!D107</f>
        <v>To what extent are the following preventing you, or not, from getting a better paid job?: Lack of formal education (e.g. university degree)</v>
      </c>
      <c r="F99">
        <f>Contents!C107</f>
        <v>99</v>
      </c>
      <c r="G99" t="str">
        <f>Contents!E107</f>
        <v>888</v>
      </c>
    </row>
    <row r="100" spans="1:7" x14ac:dyDescent="0.35">
      <c r="A100" t="s">
        <v>355</v>
      </c>
      <c r="B100" t="s">
        <v>534</v>
      </c>
      <c r="C100">
        <f t="shared" si="2"/>
        <v>100</v>
      </c>
      <c r="D100" t="str">
        <f t="shared" si="3"/>
        <v>895</v>
      </c>
      <c r="E100" t="str">
        <f>Contents!D108</f>
        <v>To what extent are the following preventing you, or not, from getting a better paid job?: Caring responsibilities</v>
      </c>
      <c r="F100">
        <f>Contents!C108</f>
        <v>100</v>
      </c>
      <c r="G100" t="str">
        <f>Contents!E108</f>
        <v>895</v>
      </c>
    </row>
    <row r="101" spans="1:7" x14ac:dyDescent="0.35">
      <c r="A101" t="s">
        <v>356</v>
      </c>
      <c r="B101" t="s">
        <v>534</v>
      </c>
      <c r="C101">
        <f t="shared" si="2"/>
        <v>101</v>
      </c>
      <c r="D101" t="str">
        <f t="shared" si="3"/>
        <v>902</v>
      </c>
      <c r="E101" t="str">
        <f>Contents!D109</f>
        <v>To what extent are the following preventing you, or not, from getting a better paid job?: Lack of transportation (e.g. not having access to a car)</v>
      </c>
      <c r="F101">
        <f>Contents!C109</f>
        <v>101</v>
      </c>
      <c r="G101" t="str">
        <f>Contents!E109</f>
        <v>902</v>
      </c>
    </row>
    <row r="102" spans="1:7" x14ac:dyDescent="0.35">
      <c r="A102" t="s">
        <v>357</v>
      </c>
      <c r="B102" t="s">
        <v>534</v>
      </c>
      <c r="C102">
        <f t="shared" si="2"/>
        <v>102</v>
      </c>
      <c r="D102" t="str">
        <f t="shared" si="3"/>
        <v>909</v>
      </c>
      <c r="E102" t="str">
        <f>Contents!D110</f>
        <v>To what extent are the following preventing you, or not, from getting a better paid job?: Lack of experience</v>
      </c>
      <c r="F102">
        <f>Contents!C110</f>
        <v>102</v>
      </c>
      <c r="G102" t="str">
        <f>Contents!E110</f>
        <v>909</v>
      </c>
    </row>
    <row r="103" spans="1:7" x14ac:dyDescent="0.35">
      <c r="A103" t="s">
        <v>361</v>
      </c>
      <c r="B103" t="s">
        <v>534</v>
      </c>
      <c r="C103">
        <f t="shared" si="2"/>
        <v>103</v>
      </c>
      <c r="D103" t="str">
        <f t="shared" si="3"/>
        <v>916</v>
      </c>
      <c r="E103" t="str">
        <f>Contents!D111</f>
        <v xml:space="preserve"> Which of the following best describes the way you currently work?</v>
      </c>
      <c r="F103">
        <f>Contents!C111</f>
        <v>103</v>
      </c>
      <c r="G103" t="str">
        <f>Contents!E111</f>
        <v>916</v>
      </c>
    </row>
    <row r="104" spans="1:7" x14ac:dyDescent="0.35">
      <c r="A104" t="s">
        <v>364</v>
      </c>
      <c r="B104" t="s">
        <v>536</v>
      </c>
      <c r="C104">
        <f t="shared" si="2"/>
        <v>104</v>
      </c>
      <c r="D104" t="str">
        <f t="shared" si="3"/>
        <v>922</v>
      </c>
      <c r="E104" t="str">
        <f>Contents!D112</f>
        <v xml:space="preserve"> You said that you are currently working from home. Do you currently expect to continue to work from home for the foreseeable future?</v>
      </c>
      <c r="F104">
        <f>Contents!C112</f>
        <v>104</v>
      </c>
      <c r="G104" t="str">
        <f>Contents!E112</f>
        <v>922</v>
      </c>
    </row>
    <row r="105" spans="1:7" x14ac:dyDescent="0.35">
      <c r="A105" t="s">
        <v>368</v>
      </c>
      <c r="B105" t="s">
        <v>537</v>
      </c>
      <c r="C105">
        <f t="shared" si="2"/>
        <v>105</v>
      </c>
      <c r="D105" t="str">
        <f t="shared" si="3"/>
        <v>928</v>
      </c>
      <c r="E105" t="str">
        <f>Contents!D113</f>
        <v xml:space="preserve"> When you work from home, are there any digital tools or apps that you normally use at your company’s main place of work that you are not able to access? </v>
      </c>
      <c r="F105">
        <f>Contents!C113</f>
        <v>105</v>
      </c>
      <c r="G105" t="str">
        <f>Contents!E113</f>
        <v>928</v>
      </c>
    </row>
    <row r="106" spans="1:7" x14ac:dyDescent="0.35">
      <c r="A106" t="s">
        <v>377</v>
      </c>
      <c r="B106" t="s">
        <v>50</v>
      </c>
      <c r="C106">
        <f t="shared" si="2"/>
        <v>106</v>
      </c>
      <c r="D106" t="str">
        <f t="shared" si="3"/>
        <v>935</v>
      </c>
      <c r="E106" t="str">
        <f>Contents!D114</f>
        <v>Which government related activities have you used a website or app for?Please select all that apply</v>
      </c>
      <c r="F106">
        <f>Contents!C114</f>
        <v>106</v>
      </c>
      <c r="G106" t="str">
        <f>Contents!E114</f>
        <v>935</v>
      </c>
    </row>
    <row r="107" spans="1:7" x14ac:dyDescent="0.35">
      <c r="A107" t="s">
        <v>378</v>
      </c>
      <c r="B107" t="s">
        <v>50</v>
      </c>
      <c r="C107">
        <f t="shared" si="2"/>
        <v>107</v>
      </c>
      <c r="D107" t="str">
        <f t="shared" si="3"/>
        <v>948</v>
      </c>
      <c r="E107" t="str">
        <f>Contents!D115</f>
        <v>And which do you think you would be comfortable using a website or app for?Please select all that apply</v>
      </c>
      <c r="F107">
        <f>Contents!C115</f>
        <v>107</v>
      </c>
      <c r="G107" t="str">
        <f>Contents!E115</f>
        <v>948</v>
      </c>
    </row>
    <row r="108" spans="1:7" x14ac:dyDescent="0.35">
      <c r="A108" t="s">
        <v>386</v>
      </c>
      <c r="B108" t="s">
        <v>50</v>
      </c>
      <c r="C108">
        <f t="shared" si="2"/>
        <v>108</v>
      </c>
      <c r="D108" t="str">
        <f t="shared" si="3"/>
        <v>961</v>
      </c>
      <c r="E108" t="str">
        <f>Contents!D116</f>
        <v xml:space="preserve"> Overall, how easy or difficult do you find it to use your government’s websites or apps?</v>
      </c>
      <c r="F108">
        <f>Contents!C116</f>
        <v>108</v>
      </c>
      <c r="G108" t="str">
        <f>Contents!E116</f>
        <v>961</v>
      </c>
    </row>
    <row r="109" spans="1:7" x14ac:dyDescent="0.35">
      <c r="A109" t="s">
        <v>387</v>
      </c>
      <c r="B109" t="s">
        <v>50</v>
      </c>
      <c r="C109">
        <f t="shared" si="2"/>
        <v>109</v>
      </c>
      <c r="D109" t="str">
        <f t="shared" si="3"/>
        <v>973</v>
      </c>
      <c r="E109" t="str">
        <f>Contents!D117</f>
        <v xml:space="preserve"> If you were trying to find information or a service from your government’s website or app, how confident or unconfident are you that you could find it?</v>
      </c>
      <c r="F109">
        <f>Contents!C117</f>
        <v>109</v>
      </c>
      <c r="G109" t="str">
        <f>Contents!E117</f>
        <v>973</v>
      </c>
    </row>
    <row r="110" spans="1:7" x14ac:dyDescent="0.35">
      <c r="A110" t="s">
        <v>401</v>
      </c>
      <c r="B110" t="s">
        <v>538</v>
      </c>
      <c r="C110">
        <f t="shared" si="2"/>
        <v>110</v>
      </c>
      <c r="D110">
        <f t="shared" si="3"/>
        <v>0</v>
      </c>
      <c r="E110" t="str">
        <f>Contents!D118</f>
        <v>Grid Summary: You said you had used a government website or app to do the following activities. How helpful or unhelpful did you find it?</v>
      </c>
      <c r="F110">
        <f>Contents!C118</f>
        <v>110</v>
      </c>
      <c r="G110">
        <f>Contents!E118</f>
        <v>0</v>
      </c>
    </row>
    <row r="111" spans="1:7" x14ac:dyDescent="0.35">
      <c r="A111" t="s">
        <v>402</v>
      </c>
      <c r="B111" t="s">
        <v>538</v>
      </c>
      <c r="C111">
        <f t="shared" si="2"/>
        <v>111</v>
      </c>
      <c r="D111" t="str">
        <f t="shared" si="3"/>
        <v>985</v>
      </c>
      <c r="E111" t="str">
        <f>Contents!D119</f>
        <v>You said you had used a government website or app to do the following activities. How helpful or unhelpful did you find it?: Pay your taxes or a fine</v>
      </c>
      <c r="F111">
        <f>Contents!C119</f>
        <v>111</v>
      </c>
      <c r="G111" t="str">
        <f>Contents!E119</f>
        <v>985</v>
      </c>
    </row>
    <row r="112" spans="1:7" x14ac:dyDescent="0.35">
      <c r="A112" t="s">
        <v>403</v>
      </c>
      <c r="B112" t="s">
        <v>538</v>
      </c>
      <c r="C112">
        <f t="shared" si="2"/>
        <v>112</v>
      </c>
      <c r="D112" t="str">
        <f t="shared" si="3"/>
        <v>993</v>
      </c>
      <c r="E112" t="str">
        <f>Contents!D120</f>
        <v>You said you had used a government website or app to do the following activities. How helpful or unhelpful did you find it?: Apply for benefits</v>
      </c>
      <c r="F112">
        <f>Contents!C120</f>
        <v>112</v>
      </c>
      <c r="G112" t="str">
        <f>Contents!E120</f>
        <v>993</v>
      </c>
    </row>
    <row r="113" spans="1:7" x14ac:dyDescent="0.35">
      <c r="A113" t="s">
        <v>404</v>
      </c>
      <c r="B113" t="s">
        <v>538</v>
      </c>
      <c r="C113">
        <f t="shared" si="2"/>
        <v>113</v>
      </c>
      <c r="D113" t="str">
        <f t="shared" si="3"/>
        <v>1001</v>
      </c>
      <c r="E113" t="str">
        <f>Contents!D121</f>
        <v>You said you had used a government website or app to do the following activities. How helpful or unhelpful did you find it?: Book a medical appointment</v>
      </c>
      <c r="F113">
        <f>Contents!C121</f>
        <v>113</v>
      </c>
      <c r="G113" t="str">
        <f>Contents!E121</f>
        <v>1001</v>
      </c>
    </row>
    <row r="114" spans="1:7" x14ac:dyDescent="0.35">
      <c r="A114" t="s">
        <v>405</v>
      </c>
      <c r="B114" t="s">
        <v>538</v>
      </c>
      <c r="C114">
        <f t="shared" si="2"/>
        <v>114</v>
      </c>
      <c r="D114" t="str">
        <f t="shared" si="3"/>
        <v>1009</v>
      </c>
      <c r="E114" t="str">
        <f>Contents!D122</f>
        <v>You said you had used a government website or app to do the following activities. How helpful or unhelpful did you find it?: Have a medical consultation</v>
      </c>
      <c r="F114">
        <f>Contents!C122</f>
        <v>114</v>
      </c>
      <c r="G114" t="str">
        <f>Contents!E122</f>
        <v>1009</v>
      </c>
    </row>
    <row r="115" spans="1:7" x14ac:dyDescent="0.35">
      <c r="A115" t="s">
        <v>406</v>
      </c>
      <c r="B115" t="s">
        <v>538</v>
      </c>
      <c r="C115">
        <f t="shared" si="2"/>
        <v>115</v>
      </c>
      <c r="D115" t="str">
        <f t="shared" si="3"/>
        <v>1017</v>
      </c>
      <c r="E115" t="str">
        <f>Contents!D123</f>
        <v>You said you had used a government website or app to do the following activities. How helpful or unhelpful did you find it?: Prove your identity</v>
      </c>
      <c r="F115">
        <f>Contents!C123</f>
        <v>115</v>
      </c>
      <c r="G115" t="str">
        <f>Contents!E123</f>
        <v>1017</v>
      </c>
    </row>
    <row r="116" spans="1:7" x14ac:dyDescent="0.35">
      <c r="A116" t="s">
        <v>407</v>
      </c>
      <c r="B116" t="s">
        <v>538</v>
      </c>
      <c r="C116">
        <f t="shared" si="2"/>
        <v>116</v>
      </c>
      <c r="D116" t="str">
        <f t="shared" si="3"/>
        <v>1025</v>
      </c>
      <c r="E116" t="str">
        <f>Contents!D124</f>
        <v>You said you had used a government website or app to do the following activities. How helpful or unhelpful did you find it?: Accessing medical records</v>
      </c>
      <c r="F116">
        <f>Contents!C124</f>
        <v>116</v>
      </c>
      <c r="G116" t="str">
        <f>Contents!E124</f>
        <v>1025</v>
      </c>
    </row>
    <row r="117" spans="1:7" x14ac:dyDescent="0.35">
      <c r="A117" t="s">
        <v>408</v>
      </c>
      <c r="B117" t="s">
        <v>538</v>
      </c>
      <c r="C117">
        <f t="shared" si="2"/>
        <v>117</v>
      </c>
      <c r="D117" t="str">
        <f t="shared" si="3"/>
        <v>1033</v>
      </c>
      <c r="E117" t="str">
        <f>Contents!D125</f>
        <v>You said you had used a government website or app to do the following activities. How helpful or unhelpful did you find it?: Renew a passport or driving licence</v>
      </c>
      <c r="F117">
        <f>Contents!C125</f>
        <v>117</v>
      </c>
      <c r="G117" t="str">
        <f>Contents!E125</f>
        <v>1033</v>
      </c>
    </row>
    <row r="118" spans="1:7" x14ac:dyDescent="0.35">
      <c r="A118" t="s">
        <v>409</v>
      </c>
      <c r="B118" t="s">
        <v>538</v>
      </c>
      <c r="C118">
        <f t="shared" si="2"/>
        <v>118</v>
      </c>
      <c r="D118" t="str">
        <f t="shared" si="3"/>
        <v>1041</v>
      </c>
      <c r="E118" t="str">
        <f>Contents!D126</f>
        <v>You said you had used a government website or app to do the following activities. How helpful or unhelpful did you find it?: Vote in an election</v>
      </c>
      <c r="F118">
        <f>Contents!C126</f>
        <v>118</v>
      </c>
      <c r="G118" t="str">
        <f>Contents!E126</f>
        <v>1041</v>
      </c>
    </row>
    <row r="119" spans="1:7" x14ac:dyDescent="0.35">
      <c r="A119" t="s">
        <v>97</v>
      </c>
      <c r="B119" t="s">
        <v>50</v>
      </c>
      <c r="C119">
        <f t="shared" si="2"/>
        <v>119</v>
      </c>
      <c r="D119" t="str">
        <f t="shared" si="3"/>
        <v>1049</v>
      </c>
      <c r="E119" t="str">
        <f>Contents!D127</f>
        <v xml:space="preserve"> Which of the following is closest to your view?</v>
      </c>
      <c r="F119">
        <f>Contents!C127</f>
        <v>119</v>
      </c>
      <c r="G119" t="str">
        <f>Contents!E127</f>
        <v>1049</v>
      </c>
    </row>
    <row r="120" spans="1:7" x14ac:dyDescent="0.35">
      <c r="A120" t="s">
        <v>417</v>
      </c>
      <c r="B120" t="s">
        <v>50</v>
      </c>
      <c r="C120">
        <f t="shared" si="2"/>
        <v>120</v>
      </c>
      <c r="D120" t="str">
        <f t="shared" si="3"/>
        <v>1054</v>
      </c>
      <c r="E120" t="str">
        <f>Contents!D128</f>
        <v xml:space="preserve"> Overall, how good or bad a job do you think your Government and public services do at taking advantage of digital technology?</v>
      </c>
      <c r="F120">
        <f>Contents!C128</f>
        <v>120</v>
      </c>
      <c r="G120" t="str">
        <f>Contents!E128</f>
        <v>1054</v>
      </c>
    </row>
    <row r="121" spans="1:7" x14ac:dyDescent="0.35">
      <c r="A121" t="s">
        <v>435</v>
      </c>
      <c r="B121" t="s">
        <v>50</v>
      </c>
      <c r="C121">
        <f t="shared" si="2"/>
        <v>121</v>
      </c>
      <c r="D121">
        <f t="shared" si="3"/>
        <v>0</v>
      </c>
      <c r="E121" t="str">
        <f>Contents!D129</f>
        <v>Grid Summary: For each of the below technologies, please indicate how familiar you are with the technology</v>
      </c>
      <c r="F121">
        <f>Contents!C129</f>
        <v>121</v>
      </c>
      <c r="G121">
        <f>Contents!E129</f>
        <v>0</v>
      </c>
    </row>
    <row r="122" spans="1:7" x14ac:dyDescent="0.35">
      <c r="A122" t="s">
        <v>436</v>
      </c>
      <c r="B122" t="s">
        <v>50</v>
      </c>
      <c r="C122">
        <f t="shared" si="2"/>
        <v>122</v>
      </c>
      <c r="D122" t="str">
        <f t="shared" si="3"/>
        <v>1063</v>
      </c>
      <c r="E122" t="str">
        <f>Contents!D130</f>
        <v>For each of the below technologies, please indicate how familiar you are with the technology: Electric cars</v>
      </c>
      <c r="F122">
        <f>Contents!C130</f>
        <v>122</v>
      </c>
      <c r="G122" t="str">
        <f>Contents!E130</f>
        <v>1063</v>
      </c>
    </row>
    <row r="123" spans="1:7" x14ac:dyDescent="0.35">
      <c r="A123" t="s">
        <v>437</v>
      </c>
      <c r="B123" t="s">
        <v>50</v>
      </c>
      <c r="C123">
        <f t="shared" si="2"/>
        <v>123</v>
      </c>
      <c r="D123" t="str">
        <f t="shared" si="3"/>
        <v>1070</v>
      </c>
      <c r="E123" t="str">
        <f>Contents!D131</f>
        <v>For each of the below technologies, please indicate how familiar you are with the technology: Self-driving taxis</v>
      </c>
      <c r="F123">
        <f>Contents!C131</f>
        <v>123</v>
      </c>
      <c r="G123" t="str">
        <f>Contents!E131</f>
        <v>1070</v>
      </c>
    </row>
    <row r="124" spans="1:7" x14ac:dyDescent="0.35">
      <c r="A124" t="s">
        <v>438</v>
      </c>
      <c r="B124" t="s">
        <v>50</v>
      </c>
      <c r="C124">
        <f t="shared" si="2"/>
        <v>124</v>
      </c>
      <c r="D124" t="str">
        <f t="shared" si="3"/>
        <v>1077</v>
      </c>
      <c r="E124" t="str">
        <f>Contents!D132</f>
        <v>For each of the below technologies, please indicate how familiar you are with the technology: Self-driving personal cars</v>
      </c>
      <c r="F124">
        <f>Contents!C132</f>
        <v>124</v>
      </c>
      <c r="G124" t="str">
        <f>Contents!E132</f>
        <v>1077</v>
      </c>
    </row>
    <row r="125" spans="1:7" x14ac:dyDescent="0.35">
      <c r="A125" t="s">
        <v>439</v>
      </c>
      <c r="B125" t="s">
        <v>50</v>
      </c>
      <c r="C125">
        <f t="shared" si="2"/>
        <v>125</v>
      </c>
      <c r="D125" t="str">
        <f t="shared" si="3"/>
        <v>1084</v>
      </c>
      <c r="E125" t="str">
        <f>Contents!D133</f>
        <v>For each of the below technologies, please indicate how familiar you are with the technology: The Metaverse</v>
      </c>
      <c r="F125">
        <f>Contents!C133</f>
        <v>125</v>
      </c>
      <c r="G125" t="str">
        <f>Contents!E133</f>
        <v>1084</v>
      </c>
    </row>
    <row r="126" spans="1:7" x14ac:dyDescent="0.35">
      <c r="A126" t="s">
        <v>440</v>
      </c>
      <c r="B126" t="s">
        <v>50</v>
      </c>
      <c r="C126">
        <f t="shared" si="2"/>
        <v>126</v>
      </c>
      <c r="D126" t="str">
        <f t="shared" si="3"/>
        <v>1091</v>
      </c>
      <c r="E126" t="str">
        <f>Contents!D134</f>
        <v>For each of the below technologies, please indicate how familiar you are with the technology: Advanced virtual reality headsets</v>
      </c>
      <c r="F126">
        <f>Contents!C134</f>
        <v>126</v>
      </c>
      <c r="G126" t="str">
        <f>Contents!E134</f>
        <v>1091</v>
      </c>
    </row>
    <row r="127" spans="1:7" x14ac:dyDescent="0.35">
      <c r="A127" t="s">
        <v>441</v>
      </c>
      <c r="B127" t="s">
        <v>50</v>
      </c>
      <c r="C127">
        <f t="shared" si="2"/>
        <v>127</v>
      </c>
      <c r="D127" t="str">
        <f t="shared" si="3"/>
        <v>1098</v>
      </c>
      <c r="E127" t="str">
        <f>Contents!D135</f>
        <v>For each of the below technologies, please indicate how familiar you are with the technology: Household robots</v>
      </c>
      <c r="F127">
        <f>Contents!C135</f>
        <v>127</v>
      </c>
      <c r="G127" t="str">
        <f>Contents!E135</f>
        <v>1098</v>
      </c>
    </row>
    <row r="128" spans="1:7" x14ac:dyDescent="0.35">
      <c r="A128" t="s">
        <v>442</v>
      </c>
      <c r="B128" t="s">
        <v>50</v>
      </c>
      <c r="C128">
        <f t="shared" si="2"/>
        <v>128</v>
      </c>
      <c r="D128" t="str">
        <f t="shared" si="3"/>
        <v>1105</v>
      </c>
      <c r="E128" t="str">
        <f>Contents!D136</f>
        <v>For each of the below technologies, please indicate how familiar you are with the technology: Drone delivery</v>
      </c>
      <c r="F128">
        <f>Contents!C136</f>
        <v>128</v>
      </c>
      <c r="G128" t="str">
        <f>Contents!E136</f>
        <v>1105</v>
      </c>
    </row>
    <row r="129" spans="1:7" x14ac:dyDescent="0.35">
      <c r="A129" t="s">
        <v>443</v>
      </c>
      <c r="B129" t="s">
        <v>50</v>
      </c>
      <c r="C129">
        <f t="shared" si="2"/>
        <v>129</v>
      </c>
      <c r="D129" t="str">
        <f t="shared" si="3"/>
        <v>1112</v>
      </c>
      <c r="E129" t="str">
        <f>Contents!D137</f>
        <v>For each of the below technologies, please indicate how familiar you are with the technology: Augmented reality headsets</v>
      </c>
      <c r="F129">
        <f>Contents!C137</f>
        <v>129</v>
      </c>
      <c r="G129" t="str">
        <f>Contents!E137</f>
        <v>1112</v>
      </c>
    </row>
    <row r="130" spans="1:7" x14ac:dyDescent="0.35">
      <c r="A130" t="s">
        <v>444</v>
      </c>
      <c r="B130" t="s">
        <v>50</v>
      </c>
      <c r="C130">
        <f t="shared" ref="C130:C193" si="4">IFERROR(VLOOKUP(A130, E130:G329, 2, FALSE), 0)</f>
        <v>130</v>
      </c>
      <c r="D130" t="str">
        <f t="shared" ref="D130:D193" si="5">IFERROR(VLOOKUP(A130, E130:G329, 3, FALSE), 0)</f>
        <v>1119</v>
      </c>
      <c r="E130" t="str">
        <f>Contents!D138</f>
        <v>For each of the below technologies, please indicate how familiar you are with the technology: Artificial Intelligence assistants at work</v>
      </c>
      <c r="F130">
        <f>Contents!C138</f>
        <v>130</v>
      </c>
      <c r="G130" t="str">
        <f>Contents!E138</f>
        <v>1119</v>
      </c>
    </row>
    <row r="131" spans="1:7" x14ac:dyDescent="0.35">
      <c r="A131" t="s">
        <v>445</v>
      </c>
      <c r="B131" t="s">
        <v>50</v>
      </c>
      <c r="C131">
        <f t="shared" si="4"/>
        <v>131</v>
      </c>
      <c r="D131" t="str">
        <f t="shared" si="5"/>
        <v>1126</v>
      </c>
      <c r="E131" t="str">
        <f>Contents!D139</f>
        <v>For each of the below technologies, please indicate how familiar you are with the technology: Artificial Intelligence medical diagnosis</v>
      </c>
      <c r="F131">
        <f>Contents!C139</f>
        <v>131</v>
      </c>
      <c r="G131" t="str">
        <f>Contents!E139</f>
        <v>1126</v>
      </c>
    </row>
    <row r="132" spans="1:7" x14ac:dyDescent="0.35">
      <c r="A132" t="s">
        <v>446</v>
      </c>
      <c r="B132" t="s">
        <v>50</v>
      </c>
      <c r="C132">
        <f t="shared" si="4"/>
        <v>132</v>
      </c>
      <c r="D132" t="str">
        <f t="shared" si="5"/>
        <v>1133</v>
      </c>
      <c r="E132" t="str">
        <f>Contents!D140</f>
        <v>For each of the below technologies, please indicate how familiar you are with the technology: Artificial Intelligence checkouts at shops (“just walk out”)</v>
      </c>
      <c r="F132">
        <f>Contents!C140</f>
        <v>132</v>
      </c>
      <c r="G132" t="str">
        <f>Contents!E140</f>
        <v>1133</v>
      </c>
    </row>
    <row r="133" spans="1:7" x14ac:dyDescent="0.35">
      <c r="A133" t="s">
        <v>447</v>
      </c>
      <c r="B133" t="s">
        <v>50</v>
      </c>
      <c r="C133">
        <f t="shared" si="4"/>
        <v>133</v>
      </c>
      <c r="D133" t="str">
        <f t="shared" si="5"/>
        <v>1140</v>
      </c>
      <c r="E133" t="str">
        <f>Contents!D141</f>
        <v>For each of the below technologies, please indicate how familiar you are with the technology: Blockchain (eg cryptocurrency, NFTs etc)</v>
      </c>
      <c r="F133">
        <f>Contents!C141</f>
        <v>133</v>
      </c>
      <c r="G133" t="str">
        <f>Contents!E141</f>
        <v>1140</v>
      </c>
    </row>
    <row r="134" spans="1:7" x14ac:dyDescent="0.35">
      <c r="A134" t="s">
        <v>448</v>
      </c>
      <c r="B134" t="s">
        <v>50</v>
      </c>
      <c r="C134">
        <f t="shared" si="4"/>
        <v>134</v>
      </c>
      <c r="D134" t="str">
        <f t="shared" si="5"/>
        <v>1147</v>
      </c>
      <c r="E134" t="str">
        <f>Contents!D142</f>
        <v>For each of the below technologies, please indicate how familiar you are with the technology: 6G</v>
      </c>
      <c r="F134">
        <f>Contents!C142</f>
        <v>134</v>
      </c>
      <c r="G134" t="str">
        <f>Contents!E142</f>
        <v>1147</v>
      </c>
    </row>
    <row r="135" spans="1:7" x14ac:dyDescent="0.35">
      <c r="A135" t="s">
        <v>452</v>
      </c>
      <c r="B135" t="s">
        <v>50</v>
      </c>
      <c r="C135">
        <f t="shared" si="4"/>
        <v>135</v>
      </c>
      <c r="D135">
        <f t="shared" si="5"/>
        <v>0</v>
      </c>
      <c r="E135" t="str">
        <f>Contents!D143</f>
        <v>Grid Summary: For each of the below technologies, please indicate how comfortable you are with the technology</v>
      </c>
      <c r="F135">
        <f>Contents!C143</f>
        <v>135</v>
      </c>
      <c r="G135">
        <f>Contents!E143</f>
        <v>0</v>
      </c>
    </row>
    <row r="136" spans="1:7" x14ac:dyDescent="0.35">
      <c r="A136" t="s">
        <v>453</v>
      </c>
      <c r="B136" t="s">
        <v>50</v>
      </c>
      <c r="C136">
        <f t="shared" si="4"/>
        <v>136</v>
      </c>
      <c r="D136" t="str">
        <f t="shared" si="5"/>
        <v>1154</v>
      </c>
      <c r="E136" t="str">
        <f>Contents!D144</f>
        <v>For each of the below technologies, please indicate how comfortable you are with the technology: Electric cars</v>
      </c>
      <c r="F136">
        <f>Contents!C144</f>
        <v>136</v>
      </c>
      <c r="G136" t="str">
        <f>Contents!E144</f>
        <v>1154</v>
      </c>
    </row>
    <row r="137" spans="1:7" x14ac:dyDescent="0.35">
      <c r="A137" t="s">
        <v>454</v>
      </c>
      <c r="B137" t="s">
        <v>50</v>
      </c>
      <c r="C137">
        <f t="shared" si="4"/>
        <v>137</v>
      </c>
      <c r="D137" t="str">
        <f t="shared" si="5"/>
        <v>1161</v>
      </c>
      <c r="E137" t="str">
        <f>Contents!D145</f>
        <v>For each of the below technologies, please indicate how comfortable you are with the technology: Self-driving taxis</v>
      </c>
      <c r="F137">
        <f>Contents!C145</f>
        <v>137</v>
      </c>
      <c r="G137" t="str">
        <f>Contents!E145</f>
        <v>1161</v>
      </c>
    </row>
    <row r="138" spans="1:7" x14ac:dyDescent="0.35">
      <c r="A138" t="s">
        <v>455</v>
      </c>
      <c r="B138" t="s">
        <v>50</v>
      </c>
      <c r="C138">
        <f t="shared" si="4"/>
        <v>138</v>
      </c>
      <c r="D138" t="str">
        <f t="shared" si="5"/>
        <v>1168</v>
      </c>
      <c r="E138" t="str">
        <f>Contents!D146</f>
        <v>For each of the below technologies, please indicate how comfortable you are with the technology: Self-driving personal cars</v>
      </c>
      <c r="F138">
        <f>Contents!C146</f>
        <v>138</v>
      </c>
      <c r="G138" t="str">
        <f>Contents!E146</f>
        <v>1168</v>
      </c>
    </row>
    <row r="139" spans="1:7" x14ac:dyDescent="0.35">
      <c r="A139" t="s">
        <v>456</v>
      </c>
      <c r="B139" t="s">
        <v>50</v>
      </c>
      <c r="C139">
        <f t="shared" si="4"/>
        <v>139</v>
      </c>
      <c r="D139" t="str">
        <f t="shared" si="5"/>
        <v>1175</v>
      </c>
      <c r="E139" t="str">
        <f>Contents!D147</f>
        <v>For each of the below technologies, please indicate how comfortable you are with the technology: The Metaverse</v>
      </c>
      <c r="F139">
        <f>Contents!C147</f>
        <v>139</v>
      </c>
      <c r="G139" t="str">
        <f>Contents!E147</f>
        <v>1175</v>
      </c>
    </row>
    <row r="140" spans="1:7" x14ac:dyDescent="0.35">
      <c r="A140" t="s">
        <v>457</v>
      </c>
      <c r="B140" t="s">
        <v>50</v>
      </c>
      <c r="C140">
        <f t="shared" si="4"/>
        <v>140</v>
      </c>
      <c r="D140" t="str">
        <f t="shared" si="5"/>
        <v>1182</v>
      </c>
      <c r="E140" t="str">
        <f>Contents!D148</f>
        <v>For each of the below technologies, please indicate how comfortable you are with the technology: Advanced virtual reality headsets</v>
      </c>
      <c r="F140">
        <f>Contents!C148</f>
        <v>140</v>
      </c>
      <c r="G140" t="str">
        <f>Contents!E148</f>
        <v>1182</v>
      </c>
    </row>
    <row r="141" spans="1:7" x14ac:dyDescent="0.35">
      <c r="A141" t="s">
        <v>458</v>
      </c>
      <c r="B141" t="s">
        <v>50</v>
      </c>
      <c r="C141">
        <f t="shared" si="4"/>
        <v>141</v>
      </c>
      <c r="D141" t="str">
        <f t="shared" si="5"/>
        <v>1189</v>
      </c>
      <c r="E141" t="str">
        <f>Contents!D149</f>
        <v>For each of the below technologies, please indicate how comfortable you are with the technology: Augmented reality headsets</v>
      </c>
      <c r="F141">
        <f>Contents!C149</f>
        <v>141</v>
      </c>
      <c r="G141" t="str">
        <f>Contents!E149</f>
        <v>1189</v>
      </c>
    </row>
    <row r="142" spans="1:7" x14ac:dyDescent="0.35">
      <c r="A142" t="s">
        <v>459</v>
      </c>
      <c r="B142" t="s">
        <v>50</v>
      </c>
      <c r="C142">
        <f t="shared" si="4"/>
        <v>142</v>
      </c>
      <c r="D142" t="str">
        <f t="shared" si="5"/>
        <v>1196</v>
      </c>
      <c r="E142" t="str">
        <f>Contents!D150</f>
        <v>For each of the below technologies, please indicate how comfortable you are with the technology: Artificial Intelligence assistants at work</v>
      </c>
      <c r="F142">
        <f>Contents!C150</f>
        <v>142</v>
      </c>
      <c r="G142" t="str">
        <f>Contents!E150</f>
        <v>1196</v>
      </c>
    </row>
    <row r="143" spans="1:7" x14ac:dyDescent="0.35">
      <c r="A143" t="s">
        <v>460</v>
      </c>
      <c r="B143" t="s">
        <v>50</v>
      </c>
      <c r="C143">
        <f t="shared" si="4"/>
        <v>143</v>
      </c>
      <c r="D143" t="str">
        <f t="shared" si="5"/>
        <v>1203</v>
      </c>
      <c r="E143" t="str">
        <f>Contents!D151</f>
        <v>For each of the below technologies, please indicate how comfortable you are with the technology: Artificial Intelligence medical diagnosis</v>
      </c>
      <c r="F143">
        <f>Contents!C151</f>
        <v>143</v>
      </c>
      <c r="G143" t="str">
        <f>Contents!E151</f>
        <v>1203</v>
      </c>
    </row>
    <row r="144" spans="1:7" x14ac:dyDescent="0.35">
      <c r="A144" t="s">
        <v>461</v>
      </c>
      <c r="B144" t="s">
        <v>50</v>
      </c>
      <c r="C144">
        <f t="shared" si="4"/>
        <v>144</v>
      </c>
      <c r="D144" t="str">
        <f t="shared" si="5"/>
        <v>1210</v>
      </c>
      <c r="E144" t="str">
        <f>Contents!D152</f>
        <v>For each of the below technologies, please indicate how comfortable you are with the technology: Artificial Intelligence checkouts at shops (“just walk out”)</v>
      </c>
      <c r="F144">
        <f>Contents!C152</f>
        <v>144</v>
      </c>
      <c r="G144" t="str">
        <f>Contents!E152</f>
        <v>1210</v>
      </c>
    </row>
    <row r="145" spans="1:7" x14ac:dyDescent="0.35">
      <c r="A145" t="s">
        <v>462</v>
      </c>
      <c r="B145" t="s">
        <v>50</v>
      </c>
      <c r="C145">
        <f t="shared" si="4"/>
        <v>145</v>
      </c>
      <c r="D145" t="str">
        <f t="shared" si="5"/>
        <v>1217</v>
      </c>
      <c r="E145" t="str">
        <f>Contents!D153</f>
        <v>For each of the below technologies, please indicate how comfortable you are with the technology: Blockchain (eg cryptocurrency, NFTs etc)</v>
      </c>
      <c r="F145">
        <f>Contents!C153</f>
        <v>145</v>
      </c>
      <c r="G145" t="str">
        <f>Contents!E153</f>
        <v>1217</v>
      </c>
    </row>
    <row r="146" spans="1:7" x14ac:dyDescent="0.35">
      <c r="A146" t="s">
        <v>463</v>
      </c>
      <c r="B146" t="s">
        <v>50</v>
      </c>
      <c r="C146">
        <f t="shared" si="4"/>
        <v>146</v>
      </c>
      <c r="D146" t="str">
        <f t="shared" si="5"/>
        <v>1224</v>
      </c>
      <c r="E146" t="str">
        <f>Contents!D154</f>
        <v>For each of the below technologies, please indicate how comfortable you are with the technology: Household robots</v>
      </c>
      <c r="F146">
        <f>Contents!C154</f>
        <v>146</v>
      </c>
      <c r="G146" t="str">
        <f>Contents!E154</f>
        <v>1224</v>
      </c>
    </row>
    <row r="147" spans="1:7" x14ac:dyDescent="0.35">
      <c r="A147" t="s">
        <v>464</v>
      </c>
      <c r="B147" t="s">
        <v>50</v>
      </c>
      <c r="C147">
        <f t="shared" si="4"/>
        <v>147</v>
      </c>
      <c r="D147" t="str">
        <f t="shared" si="5"/>
        <v>1231</v>
      </c>
      <c r="E147" t="str">
        <f>Contents!D155</f>
        <v>For each of the below technologies, please indicate how comfortable you are with the technology: Drone delivery</v>
      </c>
      <c r="F147">
        <f>Contents!C155</f>
        <v>147</v>
      </c>
      <c r="G147" t="str">
        <f>Contents!E155</f>
        <v>1231</v>
      </c>
    </row>
    <row r="148" spans="1:7" x14ac:dyDescent="0.35">
      <c r="A148" t="s">
        <v>465</v>
      </c>
      <c r="B148" t="s">
        <v>50</v>
      </c>
      <c r="C148">
        <f t="shared" si="4"/>
        <v>148</v>
      </c>
      <c r="D148" t="str">
        <f t="shared" si="5"/>
        <v>1238</v>
      </c>
      <c r="E148" t="str">
        <f>Contents!D156</f>
        <v>For each of the below technologies, please indicate how comfortable you are with the technology: 6G</v>
      </c>
      <c r="F148">
        <f>Contents!C156</f>
        <v>148</v>
      </c>
      <c r="G148" t="str">
        <f>Contents!E156</f>
        <v>1238</v>
      </c>
    </row>
    <row r="149" spans="1:7" x14ac:dyDescent="0.35">
      <c r="A149" t="s">
        <v>478</v>
      </c>
      <c r="B149" t="s">
        <v>50</v>
      </c>
      <c r="C149">
        <f t="shared" si="4"/>
        <v>149</v>
      </c>
      <c r="D149" t="str">
        <f t="shared" si="5"/>
        <v>1245</v>
      </c>
      <c r="E149" t="str">
        <f>Contents!D157</f>
        <v>Which of these technologies, if any, would you be likely to use in the next decade?Please select all that apply</v>
      </c>
      <c r="F149">
        <f>Contents!C157</f>
        <v>149</v>
      </c>
      <c r="G149" t="str">
        <f>Contents!E157</f>
        <v>1245</v>
      </c>
    </row>
    <row r="150" spans="1:7" x14ac:dyDescent="0.35">
      <c r="A150" t="s">
        <v>480</v>
      </c>
      <c r="B150" t="s">
        <v>50</v>
      </c>
      <c r="C150">
        <f t="shared" si="4"/>
        <v>150</v>
      </c>
      <c r="D150" t="str">
        <f t="shared" si="5"/>
        <v>1261</v>
      </c>
      <c r="E150" t="str">
        <f>Contents!D158</f>
        <v>And which of these technologies, if any, do you think could make a significant difference to your everyday life?Please select all that apply</v>
      </c>
      <c r="F150">
        <f>Contents!C158</f>
        <v>150</v>
      </c>
      <c r="G150" t="str">
        <f>Contents!E158</f>
        <v>1261</v>
      </c>
    </row>
    <row r="151" spans="1:7" x14ac:dyDescent="0.35">
      <c r="A151" t="s">
        <v>493</v>
      </c>
      <c r="B151" t="s">
        <v>50</v>
      </c>
      <c r="C151">
        <f t="shared" si="4"/>
        <v>151</v>
      </c>
      <c r="D151">
        <f t="shared" si="5"/>
        <v>0</v>
      </c>
      <c r="E151" t="str">
        <f>Contents!D159</f>
        <v>Grid Summary: Do you tend to agree or disagree with the following?</v>
      </c>
      <c r="F151">
        <f>Contents!C159</f>
        <v>151</v>
      </c>
      <c r="G151">
        <f>Contents!E159</f>
        <v>0</v>
      </c>
    </row>
    <row r="152" spans="1:7" x14ac:dyDescent="0.35">
      <c r="A152" t="s">
        <v>494</v>
      </c>
      <c r="B152" t="s">
        <v>50</v>
      </c>
      <c r="C152">
        <f t="shared" si="4"/>
        <v>152</v>
      </c>
      <c r="D152" t="str">
        <f t="shared" si="5"/>
        <v>1276</v>
      </c>
      <c r="E152" t="str">
        <f>Contents!D160</f>
        <v>Do you tend to agree or disagree with the following?: It is difficult for a modern economy to prosper without a strong digital technology sector</v>
      </c>
      <c r="F152">
        <f>Contents!C160</f>
        <v>152</v>
      </c>
      <c r="G152" t="str">
        <f>Contents!E160</f>
        <v>1276</v>
      </c>
    </row>
    <row r="153" spans="1:7" x14ac:dyDescent="0.35">
      <c r="A153" t="s">
        <v>495</v>
      </c>
      <c r="B153" t="s">
        <v>50</v>
      </c>
      <c r="C153">
        <f t="shared" si="4"/>
        <v>153</v>
      </c>
      <c r="D153" t="str">
        <f t="shared" si="5"/>
        <v>1288</v>
      </c>
      <c r="E153" t="str">
        <f>Contents!D161</f>
        <v>Do you tend to agree or disagree with the following?: Europe’s technology sector is falling behind other countries or regions</v>
      </c>
      <c r="F153">
        <f>Contents!C161</f>
        <v>153</v>
      </c>
      <c r="G153" t="str">
        <f>Contents!E161</f>
        <v>1288</v>
      </c>
    </row>
    <row r="154" spans="1:7" x14ac:dyDescent="0.35">
      <c r="A154" t="s">
        <v>496</v>
      </c>
      <c r="B154" t="s">
        <v>50</v>
      </c>
      <c r="C154">
        <f t="shared" si="4"/>
        <v>154</v>
      </c>
      <c r="D154" t="str">
        <f t="shared" si="5"/>
        <v>1300</v>
      </c>
      <c r="E154" t="str">
        <f>Contents!D162</f>
        <v>Do you tend to agree or disagree with the following?: We should do more to help people learn basic digital skills</v>
      </c>
      <c r="F154">
        <f>Contents!C162</f>
        <v>154</v>
      </c>
      <c r="G154" t="str">
        <f>Contents!E162</f>
        <v>1300</v>
      </c>
    </row>
    <row r="155" spans="1:7" x14ac:dyDescent="0.35">
      <c r="A155" t="s">
        <v>497</v>
      </c>
      <c r="B155" t="s">
        <v>50</v>
      </c>
      <c r="C155">
        <f t="shared" si="4"/>
        <v>155</v>
      </c>
      <c r="D155" t="str">
        <f t="shared" si="5"/>
        <v>1312</v>
      </c>
      <c r="E155" t="str">
        <f>Contents!D163</f>
        <v>Do you tend to agree or disagree with the following?: I would like to have learned more about computing and digital technology when I was at school</v>
      </c>
      <c r="F155">
        <f>Contents!C163</f>
        <v>155</v>
      </c>
      <c r="G155" t="str">
        <f>Contents!E163</f>
        <v>1312</v>
      </c>
    </row>
    <row r="156" spans="1:7" x14ac:dyDescent="0.35">
      <c r="A156" t="s">
        <v>498</v>
      </c>
      <c r="B156" t="s">
        <v>50</v>
      </c>
      <c r="C156">
        <f t="shared" si="4"/>
        <v>156</v>
      </c>
      <c r="D156" t="str">
        <f t="shared" si="5"/>
        <v>1324</v>
      </c>
      <c r="E156" t="str">
        <f>Contents!D164</f>
        <v>Do you tend to agree or disagree with the following?: My country is a digital frontrunner when compared to other European countries</v>
      </c>
      <c r="F156">
        <f>Contents!C164</f>
        <v>156</v>
      </c>
      <c r="G156" t="str">
        <f>Contents!E164</f>
        <v>1324</v>
      </c>
    </row>
    <row r="157" spans="1:7" x14ac:dyDescent="0.35">
      <c r="A157" t="s">
        <v>499</v>
      </c>
      <c r="B157" t="s">
        <v>50</v>
      </c>
      <c r="C157">
        <f t="shared" si="4"/>
        <v>157</v>
      </c>
      <c r="D157" t="str">
        <f t="shared" si="5"/>
        <v>1336</v>
      </c>
      <c r="E157" t="str">
        <f>Contents!D165</f>
        <v xml:space="preserve"> Overall, how confident or unconfident are you in keeping your personal digital data secure?</v>
      </c>
      <c r="F157">
        <f>Contents!C165</f>
        <v>157</v>
      </c>
      <c r="G157" t="str">
        <f>Contents!E165</f>
        <v>1336</v>
      </c>
    </row>
    <row r="158" spans="1:7" x14ac:dyDescent="0.35">
      <c r="A158" t="s">
        <v>509</v>
      </c>
      <c r="B158" t="s">
        <v>50</v>
      </c>
      <c r="C158">
        <f t="shared" si="4"/>
        <v>158</v>
      </c>
      <c r="D158">
        <f t="shared" si="5"/>
        <v>0</v>
      </c>
      <c r="E158" t="str">
        <f>Contents!D166</f>
        <v>Grid Summary: To what extent, if at all, would you trust your personal digital data to be secure in the following circumstances?</v>
      </c>
      <c r="F158">
        <f>Contents!C166</f>
        <v>158</v>
      </c>
      <c r="G158">
        <f>Contents!E166</f>
        <v>0</v>
      </c>
    </row>
    <row r="159" spans="1:7" x14ac:dyDescent="0.35">
      <c r="A159" t="s">
        <v>510</v>
      </c>
      <c r="B159" t="s">
        <v>50</v>
      </c>
      <c r="C159">
        <f t="shared" si="4"/>
        <v>159</v>
      </c>
      <c r="D159" t="str">
        <f t="shared" si="5"/>
        <v>1348</v>
      </c>
      <c r="E159" t="str">
        <f>Contents!D167</f>
        <v>To what extent, if at all, would you trust your personal digital data to be secure in the following circumstances?: Hosted by your government</v>
      </c>
      <c r="F159">
        <f>Contents!C167</f>
        <v>159</v>
      </c>
      <c r="G159" t="str">
        <f>Contents!E167</f>
        <v>1348</v>
      </c>
    </row>
    <row r="160" spans="1:7" x14ac:dyDescent="0.35">
      <c r="A160" t="s">
        <v>511</v>
      </c>
      <c r="B160" t="s">
        <v>50</v>
      </c>
      <c r="C160">
        <f t="shared" si="4"/>
        <v>160</v>
      </c>
      <c r="D160" t="str">
        <f t="shared" si="5"/>
        <v>1357</v>
      </c>
      <c r="E160" t="str">
        <f>Contents!D168</f>
        <v>To what extent, if at all, would you trust your personal digital data to be secure in the following circumstances?: Hosted in the on premises computers of a company from your country</v>
      </c>
      <c r="F160">
        <f>Contents!C168</f>
        <v>160</v>
      </c>
      <c r="G160" t="str">
        <f>Contents!E168</f>
        <v>1357</v>
      </c>
    </row>
    <row r="161" spans="1:7" x14ac:dyDescent="0.35">
      <c r="A161" t="s">
        <v>512</v>
      </c>
      <c r="B161" t="s">
        <v>50</v>
      </c>
      <c r="C161">
        <f t="shared" si="4"/>
        <v>161</v>
      </c>
      <c r="D161" t="str">
        <f t="shared" si="5"/>
        <v>1366</v>
      </c>
      <c r="E161" t="str">
        <f>Contents!D169</f>
        <v>To what extent, if at all, would you trust your personal digital data to be secure in the following circumstances?: Hosted in a data centre in your country owned by an international company</v>
      </c>
      <c r="F161">
        <f>Contents!C169</f>
        <v>161</v>
      </c>
      <c r="G161" t="str">
        <f>Contents!E169</f>
        <v>1366</v>
      </c>
    </row>
    <row r="162" spans="1:7" x14ac:dyDescent="0.35">
      <c r="A162" t="s">
        <v>513</v>
      </c>
      <c r="B162" t="s">
        <v>50</v>
      </c>
      <c r="C162">
        <f t="shared" si="4"/>
        <v>162</v>
      </c>
      <c r="D162" t="str">
        <f t="shared" si="5"/>
        <v>1375</v>
      </c>
      <c r="E162" t="str">
        <f>Contents!D170</f>
        <v>To what extent, if at all, would you trust your personal digital data to be secure in the following circumstances?: Hosted in a data centre in another country</v>
      </c>
      <c r="F162">
        <f>Contents!C170</f>
        <v>162</v>
      </c>
      <c r="G162" t="str">
        <f>Contents!E170</f>
        <v>1375</v>
      </c>
    </row>
    <row r="163" spans="1:7" x14ac:dyDescent="0.35">
      <c r="A163" t="s">
        <v>520</v>
      </c>
      <c r="B163" t="s">
        <v>50</v>
      </c>
      <c r="C163">
        <f t="shared" si="4"/>
        <v>163</v>
      </c>
      <c r="D163" t="str">
        <f t="shared" si="5"/>
        <v>1384</v>
      </c>
      <c r="E163" t="str">
        <f>Contents!D171</f>
        <v>What do you think is most important to keeping your data secure?Please select up to three</v>
      </c>
      <c r="F163">
        <f>Contents!C171</f>
        <v>163</v>
      </c>
      <c r="G163" t="str">
        <f>Contents!E171</f>
        <v>1384</v>
      </c>
    </row>
    <row r="164" spans="1:7" x14ac:dyDescent="0.35">
      <c r="A164" t="s">
        <v>539</v>
      </c>
      <c r="B164" t="s">
        <v>50</v>
      </c>
      <c r="C164">
        <f t="shared" si="4"/>
        <v>164</v>
      </c>
      <c r="D164" t="str">
        <f t="shared" si="5"/>
        <v>1395</v>
      </c>
      <c r="E164" t="str">
        <f>Contents!D172</f>
        <v xml:space="preserve"> A data centre is a building or dedicated space used to house computer systems and servers. They are commonly used by companies that operate digital services to run their applications, store data and transfer information to and from their custome...</v>
      </c>
      <c r="F164">
        <f>Contents!C172</f>
        <v>164</v>
      </c>
      <c r="G164" t="str">
        <f>Contents!E172</f>
        <v>1395</v>
      </c>
    </row>
    <row r="165" spans="1:7" x14ac:dyDescent="0.35">
      <c r="A165" t="s">
        <v>522</v>
      </c>
      <c r="B165" t="s">
        <v>50</v>
      </c>
      <c r="C165">
        <f t="shared" si="4"/>
        <v>165</v>
      </c>
      <c r="D165" t="str">
        <f t="shared" si="5"/>
        <v>1407</v>
      </c>
      <c r="E165" t="str">
        <f>Contents!D173</f>
        <v xml:space="preserve"> And how important or unimportant do you think it is for a provider of digital services to have a data centre hosted in Europe, even if it is not in your country?</v>
      </c>
      <c r="F165">
        <f>Contents!C173</f>
        <v>165</v>
      </c>
      <c r="G165" t="str">
        <f>Contents!E173</f>
        <v>1407</v>
      </c>
    </row>
    <row r="166" spans="1:7" x14ac:dyDescent="0.35">
      <c r="A166" t="s">
        <v>530</v>
      </c>
      <c r="B166" t="s">
        <v>50</v>
      </c>
      <c r="C166">
        <f t="shared" si="4"/>
        <v>166</v>
      </c>
      <c r="D166" t="str">
        <f t="shared" si="5"/>
        <v>1419</v>
      </c>
      <c r="E166" t="str">
        <f>Contents!D174</f>
        <v xml:space="preserve"> Would you support or oppose the building of a new data centre by an international cloud provider in your local city or region?</v>
      </c>
      <c r="F166">
        <f>Contents!C174</f>
        <v>166</v>
      </c>
      <c r="G166" t="str">
        <f>Contents!E174</f>
        <v>1419</v>
      </c>
    </row>
    <row r="167" spans="1:7" x14ac:dyDescent="0.35">
      <c r="C167">
        <f t="shared" si="4"/>
        <v>0</v>
      </c>
      <c r="D167">
        <f t="shared" si="5"/>
        <v>0</v>
      </c>
      <c r="E167">
        <f>Contents!D175</f>
        <v>0</v>
      </c>
      <c r="F167">
        <f>Contents!C175</f>
        <v>0</v>
      </c>
      <c r="G167">
        <f>Contents!E175</f>
        <v>0</v>
      </c>
    </row>
    <row r="168" spans="1:7" x14ac:dyDescent="0.35">
      <c r="C168">
        <f t="shared" si="4"/>
        <v>0</v>
      </c>
      <c r="D168">
        <f t="shared" si="5"/>
        <v>0</v>
      </c>
      <c r="E168">
        <f>Contents!D176</f>
        <v>0</v>
      </c>
      <c r="F168">
        <f>Contents!C176</f>
        <v>0</v>
      </c>
      <c r="G168">
        <f>Contents!E176</f>
        <v>0</v>
      </c>
    </row>
    <row r="169" spans="1:7" x14ac:dyDescent="0.35">
      <c r="C169">
        <f t="shared" si="4"/>
        <v>0</v>
      </c>
      <c r="D169">
        <f t="shared" si="5"/>
        <v>0</v>
      </c>
      <c r="E169">
        <f>Contents!D177</f>
        <v>0</v>
      </c>
      <c r="F169">
        <f>Contents!C177</f>
        <v>0</v>
      </c>
      <c r="G169">
        <f>Contents!E177</f>
        <v>0</v>
      </c>
    </row>
    <row r="170" spans="1:7" x14ac:dyDescent="0.35">
      <c r="C170">
        <f t="shared" si="4"/>
        <v>0</v>
      </c>
      <c r="D170">
        <f t="shared" si="5"/>
        <v>0</v>
      </c>
      <c r="E170">
        <f>Contents!D178</f>
        <v>0</v>
      </c>
      <c r="F170">
        <f>Contents!C178</f>
        <v>0</v>
      </c>
      <c r="G170">
        <f>Contents!E178</f>
        <v>0</v>
      </c>
    </row>
    <row r="171" spans="1:7" x14ac:dyDescent="0.35">
      <c r="C171">
        <f t="shared" si="4"/>
        <v>0</v>
      </c>
      <c r="D171">
        <f t="shared" si="5"/>
        <v>0</v>
      </c>
      <c r="E171">
        <f>Contents!D179</f>
        <v>0</v>
      </c>
      <c r="F171">
        <f>Contents!C179</f>
        <v>0</v>
      </c>
      <c r="G171">
        <f>Contents!E179</f>
        <v>0</v>
      </c>
    </row>
    <row r="172" spans="1:7" x14ac:dyDescent="0.35">
      <c r="C172">
        <f t="shared" si="4"/>
        <v>0</v>
      </c>
      <c r="D172">
        <f t="shared" si="5"/>
        <v>0</v>
      </c>
      <c r="E172">
        <f>Contents!D180</f>
        <v>0</v>
      </c>
      <c r="F172">
        <f>Contents!C180</f>
        <v>0</v>
      </c>
      <c r="G172">
        <f>Contents!E180</f>
        <v>0</v>
      </c>
    </row>
    <row r="173" spans="1:7" x14ac:dyDescent="0.35">
      <c r="C173">
        <f t="shared" si="4"/>
        <v>0</v>
      </c>
      <c r="D173">
        <f t="shared" si="5"/>
        <v>0</v>
      </c>
      <c r="E173">
        <f>Contents!D181</f>
        <v>0</v>
      </c>
      <c r="F173">
        <f>Contents!C181</f>
        <v>0</v>
      </c>
      <c r="G173">
        <f>Contents!E181</f>
        <v>0</v>
      </c>
    </row>
    <row r="174" spans="1:7" x14ac:dyDescent="0.35">
      <c r="C174">
        <f t="shared" si="4"/>
        <v>0</v>
      </c>
      <c r="D174">
        <f t="shared" si="5"/>
        <v>0</v>
      </c>
      <c r="E174">
        <f>Contents!D182</f>
        <v>0</v>
      </c>
      <c r="F174">
        <f>Contents!C182</f>
        <v>0</v>
      </c>
      <c r="G174">
        <f>Contents!E182</f>
        <v>0</v>
      </c>
    </row>
    <row r="175" spans="1:7" x14ac:dyDescent="0.35">
      <c r="C175">
        <f t="shared" si="4"/>
        <v>0</v>
      </c>
      <c r="D175">
        <f t="shared" si="5"/>
        <v>0</v>
      </c>
      <c r="E175">
        <f>Contents!D183</f>
        <v>0</v>
      </c>
      <c r="F175">
        <f>Contents!C183</f>
        <v>0</v>
      </c>
      <c r="G175">
        <f>Contents!E183</f>
        <v>0</v>
      </c>
    </row>
    <row r="176" spans="1:7" x14ac:dyDescent="0.35">
      <c r="C176">
        <f t="shared" si="4"/>
        <v>0</v>
      </c>
      <c r="D176">
        <f t="shared" si="5"/>
        <v>0</v>
      </c>
      <c r="E176">
        <f>Contents!D184</f>
        <v>0</v>
      </c>
      <c r="F176">
        <f>Contents!C184</f>
        <v>0</v>
      </c>
      <c r="G176">
        <f>Contents!E184</f>
        <v>0</v>
      </c>
    </row>
    <row r="177" spans="3:7" x14ac:dyDescent="0.35">
      <c r="C177">
        <f t="shared" si="4"/>
        <v>0</v>
      </c>
      <c r="D177">
        <f t="shared" si="5"/>
        <v>0</v>
      </c>
      <c r="E177">
        <f>Contents!D185</f>
        <v>0</v>
      </c>
      <c r="F177">
        <f>Contents!C185</f>
        <v>0</v>
      </c>
      <c r="G177">
        <f>Contents!E185</f>
        <v>0</v>
      </c>
    </row>
    <row r="178" spans="3:7" x14ac:dyDescent="0.35">
      <c r="C178">
        <f t="shared" si="4"/>
        <v>0</v>
      </c>
      <c r="D178">
        <f t="shared" si="5"/>
        <v>0</v>
      </c>
      <c r="E178">
        <f>Contents!D186</f>
        <v>0</v>
      </c>
      <c r="F178">
        <f>Contents!C186</f>
        <v>0</v>
      </c>
      <c r="G178">
        <f>Contents!E186</f>
        <v>0</v>
      </c>
    </row>
    <row r="179" spans="3:7" x14ac:dyDescent="0.35">
      <c r="C179">
        <f t="shared" si="4"/>
        <v>0</v>
      </c>
      <c r="D179">
        <f t="shared" si="5"/>
        <v>0</v>
      </c>
      <c r="E179">
        <f>Contents!D187</f>
        <v>0</v>
      </c>
      <c r="F179">
        <f>Contents!C187</f>
        <v>0</v>
      </c>
      <c r="G179">
        <f>Contents!E187</f>
        <v>0</v>
      </c>
    </row>
    <row r="180" spans="3:7" x14ac:dyDescent="0.35">
      <c r="C180">
        <f t="shared" si="4"/>
        <v>0</v>
      </c>
      <c r="D180">
        <f t="shared" si="5"/>
        <v>0</v>
      </c>
      <c r="E180">
        <f>Contents!D188</f>
        <v>0</v>
      </c>
      <c r="F180">
        <f>Contents!C188</f>
        <v>0</v>
      </c>
      <c r="G180">
        <f>Contents!E188</f>
        <v>0</v>
      </c>
    </row>
    <row r="181" spans="3:7" x14ac:dyDescent="0.35">
      <c r="C181">
        <f t="shared" si="4"/>
        <v>0</v>
      </c>
      <c r="D181">
        <f t="shared" si="5"/>
        <v>0</v>
      </c>
      <c r="E181">
        <f>Contents!D189</f>
        <v>0</v>
      </c>
      <c r="F181">
        <f>Contents!C189</f>
        <v>0</v>
      </c>
      <c r="G181">
        <f>Contents!E189</f>
        <v>0</v>
      </c>
    </row>
    <row r="182" spans="3:7" x14ac:dyDescent="0.35">
      <c r="C182">
        <f t="shared" si="4"/>
        <v>0</v>
      </c>
      <c r="D182">
        <f t="shared" si="5"/>
        <v>0</v>
      </c>
      <c r="E182">
        <f>Contents!D190</f>
        <v>0</v>
      </c>
      <c r="F182">
        <f>Contents!C190</f>
        <v>0</v>
      </c>
      <c r="G182">
        <f>Contents!E190</f>
        <v>0</v>
      </c>
    </row>
    <row r="183" spans="3:7" x14ac:dyDescent="0.35">
      <c r="C183">
        <f t="shared" si="4"/>
        <v>0</v>
      </c>
      <c r="D183">
        <f t="shared" si="5"/>
        <v>0</v>
      </c>
      <c r="E183">
        <f>Contents!D191</f>
        <v>0</v>
      </c>
      <c r="F183">
        <f>Contents!C191</f>
        <v>0</v>
      </c>
      <c r="G183">
        <f>Contents!E191</f>
        <v>0</v>
      </c>
    </row>
    <row r="184" spans="3:7" x14ac:dyDescent="0.35">
      <c r="C184">
        <f t="shared" si="4"/>
        <v>0</v>
      </c>
      <c r="D184">
        <f t="shared" si="5"/>
        <v>0</v>
      </c>
      <c r="E184">
        <f>Contents!D192</f>
        <v>0</v>
      </c>
      <c r="F184">
        <f>Contents!C192</f>
        <v>0</v>
      </c>
      <c r="G184">
        <f>Contents!E192</f>
        <v>0</v>
      </c>
    </row>
    <row r="185" spans="3:7" x14ac:dyDescent="0.35">
      <c r="C185">
        <f t="shared" si="4"/>
        <v>0</v>
      </c>
      <c r="D185">
        <f t="shared" si="5"/>
        <v>0</v>
      </c>
      <c r="E185">
        <f>Contents!D193</f>
        <v>0</v>
      </c>
      <c r="F185">
        <f>Contents!C193</f>
        <v>0</v>
      </c>
      <c r="G185">
        <f>Contents!E193</f>
        <v>0</v>
      </c>
    </row>
    <row r="186" spans="3:7" x14ac:dyDescent="0.35">
      <c r="C186">
        <f t="shared" si="4"/>
        <v>0</v>
      </c>
      <c r="D186">
        <f t="shared" si="5"/>
        <v>0</v>
      </c>
      <c r="E186">
        <f>Contents!D194</f>
        <v>0</v>
      </c>
      <c r="F186">
        <f>Contents!C194</f>
        <v>0</v>
      </c>
      <c r="G186">
        <f>Contents!E194</f>
        <v>0</v>
      </c>
    </row>
    <row r="187" spans="3:7" x14ac:dyDescent="0.35">
      <c r="C187">
        <f t="shared" si="4"/>
        <v>0</v>
      </c>
      <c r="D187">
        <f t="shared" si="5"/>
        <v>0</v>
      </c>
      <c r="E187">
        <f>Contents!D195</f>
        <v>0</v>
      </c>
      <c r="F187">
        <f>Contents!C195</f>
        <v>0</v>
      </c>
      <c r="G187">
        <f>Contents!E195</f>
        <v>0</v>
      </c>
    </row>
    <row r="188" spans="3:7" x14ac:dyDescent="0.35">
      <c r="C188">
        <f t="shared" si="4"/>
        <v>0</v>
      </c>
      <c r="D188">
        <f t="shared" si="5"/>
        <v>0</v>
      </c>
      <c r="E188">
        <f>Contents!D196</f>
        <v>0</v>
      </c>
      <c r="F188">
        <f>Contents!C196</f>
        <v>0</v>
      </c>
      <c r="G188">
        <f>Contents!E196</f>
        <v>0</v>
      </c>
    </row>
    <row r="189" spans="3:7" x14ac:dyDescent="0.35">
      <c r="C189">
        <f t="shared" si="4"/>
        <v>0</v>
      </c>
      <c r="D189">
        <f t="shared" si="5"/>
        <v>0</v>
      </c>
      <c r="E189">
        <f>Contents!D197</f>
        <v>0</v>
      </c>
      <c r="F189">
        <f>Contents!C197</f>
        <v>0</v>
      </c>
      <c r="G189">
        <f>Contents!E197</f>
        <v>0</v>
      </c>
    </row>
    <row r="190" spans="3:7" x14ac:dyDescent="0.35">
      <c r="C190">
        <f t="shared" si="4"/>
        <v>0</v>
      </c>
      <c r="D190">
        <f t="shared" si="5"/>
        <v>0</v>
      </c>
      <c r="E190">
        <f>Contents!D198</f>
        <v>0</v>
      </c>
      <c r="F190">
        <f>Contents!C198</f>
        <v>0</v>
      </c>
      <c r="G190">
        <f>Contents!E198</f>
        <v>0</v>
      </c>
    </row>
    <row r="191" spans="3:7" x14ac:dyDescent="0.35">
      <c r="C191">
        <f t="shared" si="4"/>
        <v>0</v>
      </c>
      <c r="D191">
        <f t="shared" si="5"/>
        <v>0</v>
      </c>
      <c r="E191">
        <f>Contents!D199</f>
        <v>0</v>
      </c>
      <c r="F191">
        <f>Contents!C199</f>
        <v>0</v>
      </c>
      <c r="G191">
        <f>Contents!E199</f>
        <v>0</v>
      </c>
    </row>
    <row r="192" spans="3:7" x14ac:dyDescent="0.35">
      <c r="C192">
        <f t="shared" si="4"/>
        <v>0</v>
      </c>
      <c r="D192">
        <f t="shared" si="5"/>
        <v>0</v>
      </c>
      <c r="E192">
        <f>Contents!D200</f>
        <v>0</v>
      </c>
      <c r="F192">
        <f>Contents!C200</f>
        <v>0</v>
      </c>
      <c r="G192">
        <f>Contents!E200</f>
        <v>0</v>
      </c>
    </row>
    <row r="193" spans="3:7" x14ac:dyDescent="0.35">
      <c r="C193">
        <f t="shared" si="4"/>
        <v>0</v>
      </c>
      <c r="D193">
        <f t="shared" si="5"/>
        <v>0</v>
      </c>
      <c r="E193">
        <f>Contents!D201</f>
        <v>0</v>
      </c>
      <c r="F193">
        <f>Contents!C201</f>
        <v>0</v>
      </c>
      <c r="G193">
        <f>Contents!E201</f>
        <v>0</v>
      </c>
    </row>
    <row r="194" spans="3:7" x14ac:dyDescent="0.35">
      <c r="C194">
        <f t="shared" ref="C194:C200" si="6">IFERROR(VLOOKUP(A194, E194:G393, 2, FALSE), 0)</f>
        <v>0</v>
      </c>
      <c r="D194">
        <f t="shared" ref="D194:D200" si="7">IFERROR(VLOOKUP(A194, E194:G393, 3, FALSE), 0)</f>
        <v>0</v>
      </c>
      <c r="E194">
        <f>Contents!D202</f>
        <v>0</v>
      </c>
      <c r="F194">
        <f>Contents!C202</f>
        <v>0</v>
      </c>
      <c r="G194">
        <f>Contents!E202</f>
        <v>0</v>
      </c>
    </row>
    <row r="195" spans="3:7" x14ac:dyDescent="0.35">
      <c r="C195">
        <f t="shared" si="6"/>
        <v>0</v>
      </c>
      <c r="D195">
        <f t="shared" si="7"/>
        <v>0</v>
      </c>
      <c r="E195">
        <f>Contents!D203</f>
        <v>0</v>
      </c>
      <c r="F195">
        <f>Contents!C203</f>
        <v>0</v>
      </c>
      <c r="G195">
        <f>Contents!E203</f>
        <v>0</v>
      </c>
    </row>
    <row r="196" spans="3:7" x14ac:dyDescent="0.35">
      <c r="C196">
        <f t="shared" si="6"/>
        <v>0</v>
      </c>
      <c r="D196">
        <f t="shared" si="7"/>
        <v>0</v>
      </c>
      <c r="E196">
        <f>Contents!D204</f>
        <v>0</v>
      </c>
      <c r="F196">
        <f>Contents!C204</f>
        <v>0</v>
      </c>
      <c r="G196">
        <f>Contents!E204</f>
        <v>0</v>
      </c>
    </row>
    <row r="197" spans="3:7" x14ac:dyDescent="0.35">
      <c r="C197">
        <f t="shared" si="6"/>
        <v>0</v>
      </c>
      <c r="D197">
        <f t="shared" si="7"/>
        <v>0</v>
      </c>
      <c r="E197">
        <f>Contents!D205</f>
        <v>0</v>
      </c>
      <c r="F197">
        <f>Contents!C205</f>
        <v>0</v>
      </c>
      <c r="G197">
        <f>Contents!E205</f>
        <v>0</v>
      </c>
    </row>
    <row r="198" spans="3:7" x14ac:dyDescent="0.35">
      <c r="C198">
        <f t="shared" si="6"/>
        <v>0</v>
      </c>
      <c r="D198">
        <f t="shared" si="7"/>
        <v>0</v>
      </c>
      <c r="E198">
        <f>Contents!D206</f>
        <v>0</v>
      </c>
      <c r="F198">
        <f>Contents!C206</f>
        <v>0</v>
      </c>
      <c r="G198">
        <f>Contents!E206</f>
        <v>0</v>
      </c>
    </row>
    <row r="199" spans="3:7" x14ac:dyDescent="0.35">
      <c r="C199">
        <f t="shared" si="6"/>
        <v>0</v>
      </c>
      <c r="D199">
        <f t="shared" si="7"/>
        <v>0</v>
      </c>
      <c r="E199">
        <f>Contents!D207</f>
        <v>0</v>
      </c>
      <c r="F199">
        <f>Contents!C207</f>
        <v>0</v>
      </c>
      <c r="G199">
        <f>Contents!E207</f>
        <v>0</v>
      </c>
    </row>
    <row r="200" spans="3:7" x14ac:dyDescent="0.35">
      <c r="C200">
        <f t="shared" si="6"/>
        <v>0</v>
      </c>
      <c r="D200">
        <f t="shared" si="7"/>
        <v>0</v>
      </c>
      <c r="E200">
        <f>Contents!D208</f>
        <v>0</v>
      </c>
      <c r="F200">
        <f>Contents!C208</f>
        <v>0</v>
      </c>
      <c r="G200">
        <f>Contents!E208</f>
        <v>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F7:M20"/>
  <sheetViews>
    <sheetView showGridLines="0" topLeftCell="A10" workbookViewId="0">
      <selection activeCell="F17" sqref="F17:M17"/>
    </sheetView>
  </sheetViews>
  <sheetFormatPr defaultColWidth="10.90625" defaultRowHeight="14.5" x14ac:dyDescent="0.35"/>
  <sheetData>
    <row r="7" spans="6:12" ht="40" customHeight="1" x14ac:dyDescent="0.35">
      <c r="F7" s="25" t="s">
        <v>0</v>
      </c>
      <c r="G7" s="26"/>
      <c r="H7" s="26"/>
      <c r="I7" s="26"/>
      <c r="J7" s="26"/>
      <c r="K7" s="26"/>
      <c r="L7" s="26"/>
    </row>
    <row r="10" spans="6:12" ht="20" customHeight="1" x14ac:dyDescent="0.45">
      <c r="F10" s="2" t="s">
        <v>1</v>
      </c>
      <c r="K10" s="3" t="s">
        <v>2</v>
      </c>
    </row>
    <row r="11" spans="6:12" ht="20" customHeight="1" x14ac:dyDescent="0.45">
      <c r="F11" s="2" t="s">
        <v>3</v>
      </c>
      <c r="K11" s="3" t="s">
        <v>4</v>
      </c>
    </row>
    <row r="12" spans="6:12" ht="20" customHeight="1" x14ac:dyDescent="0.45">
      <c r="F12" s="2" t="s">
        <v>5</v>
      </c>
      <c r="K12" s="3" t="s">
        <v>6</v>
      </c>
    </row>
    <row r="13" spans="6:12" ht="20" customHeight="1" x14ac:dyDescent="0.45">
      <c r="F13" s="2" t="s">
        <v>7</v>
      </c>
      <c r="K13" s="3">
        <v>6838</v>
      </c>
    </row>
    <row r="14" spans="6:12" ht="18.5" x14ac:dyDescent="0.45">
      <c r="F14" s="2"/>
    </row>
    <row r="15" spans="6:12" ht="18.5" x14ac:dyDescent="0.45">
      <c r="F15" s="2"/>
    </row>
    <row r="16" spans="6:12" ht="18.5" x14ac:dyDescent="0.45">
      <c r="F16" s="2" t="s">
        <v>8</v>
      </c>
    </row>
    <row r="17" spans="6:13" ht="50" customHeight="1" x14ac:dyDescent="0.35">
      <c r="F17" s="27" t="s">
        <v>9</v>
      </c>
      <c r="G17" s="26"/>
      <c r="H17" s="26"/>
      <c r="I17" s="26"/>
      <c r="J17" s="26"/>
      <c r="K17" s="26"/>
      <c r="L17" s="26"/>
      <c r="M17" s="26"/>
    </row>
    <row r="19" spans="6:13" ht="30" customHeight="1" x14ac:dyDescent="0.35">
      <c r="F19" s="4" t="s">
        <v>10</v>
      </c>
    </row>
    <row r="20" spans="6:13" ht="17" x14ac:dyDescent="0.35">
      <c r="F20" s="5" t="str">
        <f>HYPERLINK("mailto:" &amp; "polling@publicfirst.co.uk" &amp; "?subject="&amp; F7, "polling@publicfirst.co.uk")</f>
        <v>polling@publicfirst.co.uk</v>
      </c>
    </row>
  </sheetData>
  <mergeCells count="2">
    <mergeCell ref="F7:L7"/>
    <mergeCell ref="F17:M17"/>
  </mergeCells>
  <pageMargins left="0.7" right="0.7" top="0.75" bottom="0.75" header="0.3" footer="0.3"/>
  <pageSetup paperSize="9" orientation="portrait" horizontalDpi="300" verticalDpi="30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2:I174"/>
  <sheetViews>
    <sheetView showGridLines="0" tabSelected="1" workbookViewId="0"/>
  </sheetViews>
  <sheetFormatPr defaultColWidth="10.90625" defaultRowHeight="14.5" x14ac:dyDescent="0.35"/>
  <cols>
    <col min="4" max="4" width="100.7265625" customWidth="1"/>
    <col min="5" max="5" width="20.7265625" customWidth="1"/>
    <col min="9" max="9" width="10.90625" style="31"/>
  </cols>
  <sheetData>
    <row r="2" spans="3:9" ht="40" customHeight="1" x14ac:dyDescent="0.35">
      <c r="D2" s="1" t="s">
        <v>11</v>
      </c>
    </row>
    <row r="6" spans="3:9" x14ac:dyDescent="0.35">
      <c r="D6" s="8" t="str">
        <f>HYPERLINK("#'Full Results'!A1", "Full Results")</f>
        <v>Full Results</v>
      </c>
    </row>
    <row r="8" spans="3:9" x14ac:dyDescent="0.35">
      <c r="D8" s="6" t="s">
        <v>12</v>
      </c>
      <c r="E8" s="6" t="s">
        <v>13</v>
      </c>
      <c r="F8" s="6" t="s">
        <v>14</v>
      </c>
      <c r="I8" s="32"/>
    </row>
    <row r="9" spans="3:9" x14ac:dyDescent="0.35">
      <c r="C9">
        <v>1</v>
      </c>
      <c r="D9" s="8" t="str">
        <f>HYPERLINK("#'Table 1'!A1", "If you had to choose, which of the following types of infrastructure investment would prefer your Government to prioritise in your local area?Please select up to three")</f>
        <v>If you had to choose, which of the following types of infrastructure investment would prefer your Government to prioritise in your local area?Please select up to three</v>
      </c>
      <c r="E9" s="14" t="str">
        <f>HYPERLINK("#'Full Results'!A11", "11")</f>
        <v>11</v>
      </c>
      <c r="F9" t="s">
        <v>50</v>
      </c>
    </row>
    <row r="10" spans="3:9" x14ac:dyDescent="0.35">
      <c r="C10">
        <v>2</v>
      </c>
      <c r="D10" s="8" t="str">
        <f>HYPERLINK("#'Table 2'!A1", "Which, if any, of the following areas would you support your government spending more on research on?Please select all that apply.")</f>
        <v>Which, if any, of the following areas would you support your government spending more on research on?Please select all that apply.</v>
      </c>
      <c r="E10" s="14" t="str">
        <f>HYPERLINK("#'Full Results'!A21", "21")</f>
        <v>21</v>
      </c>
      <c r="F10" t="s">
        <v>50</v>
      </c>
    </row>
    <row r="11" spans="3:9" x14ac:dyDescent="0.35">
      <c r="C11">
        <v>3</v>
      </c>
      <c r="D11" s="8" t="str">
        <f>HYPERLINK("#'Table 3'!A1", "Which, if any, of the following sectors do you think is most likely to be important to your country’s economy in the next decade?Please select up to three")</f>
        <v>Which, if any, of the following sectors do you think is most likely to be important to your country’s economy in the next decade?Please select up to three</v>
      </c>
      <c r="E11" s="14" t="str">
        <f>HYPERLINK("#'Full Results'!A29", "29")</f>
        <v>29</v>
      </c>
      <c r="F11" t="s">
        <v>50</v>
      </c>
    </row>
    <row r="12" spans="3:9" x14ac:dyDescent="0.35">
      <c r="C12">
        <v>4</v>
      </c>
      <c r="D12" s="8" t="str">
        <f>HYPERLINK("#'Table 4'!A1", "And which would you say have done the best job of innovating in the last decade?Please select up to three")</f>
        <v>And which would you say have done the best job of innovating in the last decade?Please select up to three</v>
      </c>
      <c r="E12" s="14" t="str">
        <f>HYPERLINK("#'Full Results'!A44", "44")</f>
        <v>44</v>
      </c>
      <c r="F12" t="s">
        <v>50</v>
      </c>
    </row>
    <row r="13" spans="3:9" x14ac:dyDescent="0.35">
      <c r="C13">
        <v>5</v>
      </c>
      <c r="D13" s="8" t="str">
        <f>HYPERLINK("#'Table 5'!A1", "Grid Summary: Overall, how well do you think your country does in the following sectors?")</f>
        <v>Grid Summary: Overall, how well do you think your country does in the following sectors?</v>
      </c>
      <c r="E13" s="7"/>
      <c r="F13" t="s">
        <v>50</v>
      </c>
    </row>
    <row r="14" spans="3:9" x14ac:dyDescent="0.35">
      <c r="C14">
        <v>6</v>
      </c>
      <c r="D14" s="8" t="str">
        <f>HYPERLINK("#'Table 6'!A1", "Overall, how well do you think your country does in the following sectors?: Financial services")</f>
        <v>Overall, how well do you think your country does in the following sectors?: Financial services</v>
      </c>
      <c r="E14" s="14" t="str">
        <f>HYPERLINK("#'Full Results'!A59", "59")</f>
        <v>59</v>
      </c>
      <c r="F14" t="s">
        <v>50</v>
      </c>
    </row>
    <row r="15" spans="3:9" x14ac:dyDescent="0.35">
      <c r="C15">
        <v>7</v>
      </c>
      <c r="D15" s="8" t="str">
        <f>HYPERLINK("#'Table 7'!A1", "Overall, how well do you think your country does in the following sectors?: Automotive ")</f>
        <v xml:space="preserve">Overall, how well do you think your country does in the following sectors?: Automotive </v>
      </c>
      <c r="E15" s="14" t="str">
        <f>HYPERLINK("#'Full Results'!A68", "68")</f>
        <v>68</v>
      </c>
      <c r="F15" t="s">
        <v>50</v>
      </c>
    </row>
    <row r="16" spans="3:9" x14ac:dyDescent="0.35">
      <c r="C16">
        <v>8</v>
      </c>
      <c r="D16" s="8" t="str">
        <f>HYPERLINK("#'Table 8'!A1", "Overall, how well do you think your country does in the following sectors?: Digital technology")</f>
        <v>Overall, how well do you think your country does in the following sectors?: Digital technology</v>
      </c>
      <c r="E16" s="14" t="str">
        <f>HYPERLINK("#'Full Results'!A77", "77")</f>
        <v>77</v>
      </c>
      <c r="F16" t="s">
        <v>50</v>
      </c>
    </row>
    <row r="17" spans="3:6" x14ac:dyDescent="0.35">
      <c r="C17">
        <v>9</v>
      </c>
      <c r="D17" s="8" t="str">
        <f>HYPERLINK("#'Table 9'!A1", " How confident or unconfident are you in your Government’s ability to grow its digital technology sector in the next five years?")</f>
        <v xml:space="preserve"> How confident or unconfident are you in your Government’s ability to grow its digital technology sector in the next five years?</v>
      </c>
      <c r="E17" s="14" t="str">
        <f>HYPERLINK("#'Full Results'!A86", "86")</f>
        <v>86</v>
      </c>
      <c r="F17" t="s">
        <v>50</v>
      </c>
    </row>
    <row r="18" spans="3:6" x14ac:dyDescent="0.35">
      <c r="C18">
        <v>10</v>
      </c>
      <c r="D18" s="8" t="str">
        <f>HYPERLINK("#'Table 10'!A1", " Which of the following is closest to your view?")</f>
        <v xml:space="preserve"> Which of the following is closest to your view?</v>
      </c>
      <c r="E18" s="14" t="str">
        <f>HYPERLINK("#'Full Results'!A98", "98")</f>
        <v>98</v>
      </c>
      <c r="F18" t="s">
        <v>50</v>
      </c>
    </row>
    <row r="19" spans="3:6" x14ac:dyDescent="0.35">
      <c r="C19">
        <v>11</v>
      </c>
      <c r="D19" s="8" t="str">
        <f>HYPERLINK("#'Table 11'!A1", "Which, if any, of the following technologies do you use regularly?Please select all that apply")</f>
        <v>Which, if any, of the following technologies do you use regularly?Please select all that apply</v>
      </c>
      <c r="E19" s="14" t="str">
        <f>HYPERLINK("#'Full Results'!A105", "105")</f>
        <v>105</v>
      </c>
      <c r="F19" t="s">
        <v>50</v>
      </c>
    </row>
    <row r="20" spans="3:6" x14ac:dyDescent="0.35">
      <c r="C20">
        <v>12</v>
      </c>
      <c r="D20" s="8" t="str">
        <f>HYPERLINK("#'Table 12'!A1", " Compared to the average person in your country, would you say that you are an early adopter of new technology?")</f>
        <v xml:space="preserve"> Compared to the average person in your country, would you say that you are an early adopter of new technology?</v>
      </c>
      <c r="E20" s="14" t="str">
        <f>HYPERLINK("#'Full Results'!A117", "117")</f>
        <v>117</v>
      </c>
      <c r="F20" t="s">
        <v>50</v>
      </c>
    </row>
    <row r="21" spans="3:6" x14ac:dyDescent="0.35">
      <c r="C21">
        <v>13</v>
      </c>
      <c r="D21" s="8" t="str">
        <f>HYPERLINK("#'Table 13'!A1", "Which, if any, of the following types of apps or websites do you use regularly?Please select all that apply")</f>
        <v>Which, if any, of the following types of apps or websites do you use regularly?Please select all that apply</v>
      </c>
      <c r="E21" s="14" t="str">
        <f>HYPERLINK("#'Full Results'!A124", "124")</f>
        <v>124</v>
      </c>
      <c r="F21" t="s">
        <v>50</v>
      </c>
    </row>
    <row r="22" spans="3:6" x14ac:dyDescent="0.35">
      <c r="C22">
        <v>14</v>
      </c>
      <c r="D22" s="8" t="str">
        <f>HYPERLINK("#'Table 14'!A1", "Grid Summary: Overall, how satisfied or unsatisfied are you with the speed and reliability of your Internet connection in the following locations?")</f>
        <v>Grid Summary: Overall, how satisfied or unsatisfied are you with the speed and reliability of your Internet connection in the following locations?</v>
      </c>
      <c r="E22" s="7"/>
      <c r="F22" t="s">
        <v>50</v>
      </c>
    </row>
    <row r="23" spans="3:6" x14ac:dyDescent="0.35">
      <c r="C23">
        <v>15</v>
      </c>
      <c r="D23" s="8" t="str">
        <f>HYPERLINK("#'Table 15'!A1", "Overall, how satisfied or unsatisfied are you with the speed and reliability of your Internet connection in the following locations?: At home")</f>
        <v>Overall, how satisfied or unsatisfied are you with the speed and reliability of your Internet connection in the following locations?: At home</v>
      </c>
      <c r="E23" s="14" t="str">
        <f>HYPERLINK("#'Full Results'!A142", "142")</f>
        <v>142</v>
      </c>
      <c r="F23" t="s">
        <v>50</v>
      </c>
    </row>
    <row r="24" spans="3:6" x14ac:dyDescent="0.35">
      <c r="C24">
        <v>16</v>
      </c>
      <c r="D24" s="8" t="str">
        <f>HYPERLINK("#'Table 16'!A1", "Overall, how satisfied or unsatisfied are you with the speed and reliability of your Internet connection in the following locations?: While travelling")</f>
        <v>Overall, how satisfied or unsatisfied are you with the speed and reliability of your Internet connection in the following locations?: While travelling</v>
      </c>
      <c r="E24" s="14" t="str">
        <f>HYPERLINK("#'Full Results'!A154", "154")</f>
        <v>154</v>
      </c>
      <c r="F24" t="s">
        <v>50</v>
      </c>
    </row>
    <row r="25" spans="3:6" x14ac:dyDescent="0.35">
      <c r="C25">
        <v>17</v>
      </c>
      <c r="D25" s="8" t="str">
        <f>HYPERLINK("#'Table 17'!A1", "Overall, how satisfied or unsatisfied are you with the speed and reliability of your Internet connection in the following locations?: At work")</f>
        <v>Overall, how satisfied or unsatisfied are you with the speed and reliability of your Internet connection in the following locations?: At work</v>
      </c>
      <c r="E25" s="14" t="str">
        <f>HYPERLINK("#'Full Results'!A166", "166")</f>
        <v>166</v>
      </c>
      <c r="F25" t="s">
        <v>532</v>
      </c>
    </row>
    <row r="26" spans="3:6" x14ac:dyDescent="0.35">
      <c r="C26">
        <v>18</v>
      </c>
      <c r="D26" s="8" t="str">
        <f>HYPERLINK("#'Table 18'!A1", "Which, if any, of the following activities have you used a website or app to do in the last year?Please select all that apply")</f>
        <v>Which, if any, of the following activities have you used a website or app to do in the last year?Please select all that apply</v>
      </c>
      <c r="E26" s="14" t="str">
        <f>HYPERLINK("#'Full Results'!A178", "178")</f>
        <v>178</v>
      </c>
      <c r="F26" t="s">
        <v>50</v>
      </c>
    </row>
    <row r="27" spans="3:6" x14ac:dyDescent="0.35">
      <c r="C27">
        <v>19</v>
      </c>
      <c r="D27" s="8" t="str">
        <f>HYPERLINK("#'Table 19'!A1", "And which, if any, of the same list activities did you use a website or app to do for the first time in the last two years?Please select all that apply")</f>
        <v>And which, if any, of the same list activities did you use a website or app to do for the first time in the last two years?Please select all that apply</v>
      </c>
      <c r="E27" s="14" t="str">
        <f>HYPERLINK("#'Full Results'!A195", "195")</f>
        <v>195</v>
      </c>
      <c r="F27" t="s">
        <v>50</v>
      </c>
    </row>
    <row r="28" spans="3:6" x14ac:dyDescent="0.35">
      <c r="C28">
        <v>20</v>
      </c>
      <c r="D28" s="8" t="str">
        <f>HYPERLINK("#'Table 20'!A1", " How much time do you spend on an average working day working out to do something which you at first didn’t know how to do on the computer?For example, working out how to correctly format a file, share a link to a video call, or write a spreadshe...")</f>
        <v xml:space="preserve"> How much time do you spend on an average working day working out to do something which you at first didn’t know how to do on the computer?For example, working out how to correctly format a file, share a link to a video call, or write a spreadshe...</v>
      </c>
      <c r="E28" s="14" t="str">
        <f>HYPERLINK("#'Full Results'!A212", "212")</f>
        <v>212</v>
      </c>
      <c r="F28" t="s">
        <v>534</v>
      </c>
    </row>
    <row r="29" spans="3:6" x14ac:dyDescent="0.35">
      <c r="C29">
        <v>21</v>
      </c>
      <c r="D29" s="8" t="str">
        <f>HYPERLINK("#'Table 21'!A1", "Grid Summary: How confident or unconfident would you be that you could perform the following digital activities?")</f>
        <v>Grid Summary: How confident or unconfident would you be that you could perform the following digital activities?</v>
      </c>
      <c r="E29" s="7"/>
      <c r="F29" t="s">
        <v>50</v>
      </c>
    </row>
    <row r="30" spans="3:6" x14ac:dyDescent="0.35">
      <c r="C30">
        <v>22</v>
      </c>
      <c r="D30" s="8" t="str">
        <f>HYPERLINK("#'Table 22'!A1", "How confident or unconfident would you be that you could perform the following digital activities?: Save a document")</f>
        <v>How confident or unconfident would you be that you could perform the following digital activities?: Save a document</v>
      </c>
      <c r="E30" s="14" t="str">
        <f>HYPERLINK("#'Full Results'!A222", "222")</f>
        <v>222</v>
      </c>
      <c r="F30" t="s">
        <v>50</v>
      </c>
    </row>
    <row r="31" spans="3:6" x14ac:dyDescent="0.35">
      <c r="C31">
        <v>23</v>
      </c>
      <c r="D31" s="8" t="str">
        <f>HYPERLINK("#'Table 23'!A1", "How confident or unconfident would you be that you could perform the following digital activities?: Tracking changes in a document")</f>
        <v>How confident or unconfident would you be that you could perform the following digital activities?: Tracking changes in a document</v>
      </c>
      <c r="E31" s="14" t="str">
        <f>HYPERLINK("#'Full Results'!A234", "234")</f>
        <v>234</v>
      </c>
      <c r="F31" t="s">
        <v>50</v>
      </c>
    </row>
    <row r="32" spans="3:6" x14ac:dyDescent="0.35">
      <c r="C32">
        <v>24</v>
      </c>
      <c r="D32" s="8" t="str">
        <f>HYPERLINK("#'Table 24'!A1", "How confident or unconfident would you be that you could perform the following digital activities?: Send an email")</f>
        <v>How confident or unconfident would you be that you could perform the following digital activities?: Send an email</v>
      </c>
      <c r="E32" s="14" t="str">
        <f>HYPERLINK("#'Full Results'!A246", "246")</f>
        <v>246</v>
      </c>
      <c r="F32" t="s">
        <v>50</v>
      </c>
    </row>
    <row r="33" spans="3:6" x14ac:dyDescent="0.35">
      <c r="C33">
        <v>25</v>
      </c>
      <c r="D33" s="8" t="str">
        <f>HYPERLINK("#'Table 25'!A1", "How confident or unconfident would you be that you could perform the following digital activities?: Share a file online")</f>
        <v>How confident or unconfident would you be that you could perform the following digital activities?: Share a file online</v>
      </c>
      <c r="E33" s="14" t="str">
        <f>HYPERLINK("#'Full Results'!A258", "258")</f>
        <v>258</v>
      </c>
      <c r="F33" t="s">
        <v>50</v>
      </c>
    </row>
    <row r="34" spans="3:6" x14ac:dyDescent="0.35">
      <c r="C34">
        <v>26</v>
      </c>
      <c r="D34" s="8" t="str">
        <f>HYPERLINK("#'Table 26'!A1", "How confident or unconfident would you be that you could perform the following digital activities?: Post something on social media")</f>
        <v>How confident or unconfident would you be that you could perform the following digital activities?: Post something on social media</v>
      </c>
      <c r="E34" s="14" t="str">
        <f>HYPERLINK("#'Full Results'!A270", "270")</f>
        <v>270</v>
      </c>
      <c r="F34" t="s">
        <v>50</v>
      </c>
    </row>
    <row r="35" spans="3:6" x14ac:dyDescent="0.35">
      <c r="C35">
        <v>27</v>
      </c>
      <c r="D35" s="8" t="str">
        <f>HYPERLINK("#'Table 27'!A1", "How confident or unconfident would you be that you could perform the following digital activities?: Create a spreadsheet to track your budget")</f>
        <v>How confident or unconfident would you be that you could perform the following digital activities?: Create a spreadsheet to track your budget</v>
      </c>
      <c r="E35" s="14" t="str">
        <f>HYPERLINK("#'Full Results'!A282", "282")</f>
        <v>282</v>
      </c>
      <c r="F35" t="s">
        <v>50</v>
      </c>
    </row>
    <row r="36" spans="3:6" x14ac:dyDescent="0.35">
      <c r="C36">
        <v>28</v>
      </c>
      <c r="D36" s="8" t="str">
        <f>HYPERLINK("#'Table 28'!A1", "How confident or unconfident would you be that you could perform the following digital activities?: Find a good price for a product online")</f>
        <v>How confident or unconfident would you be that you could perform the following digital activities?: Find a good price for a product online</v>
      </c>
      <c r="E36" s="14" t="str">
        <f>HYPERLINK("#'Full Results'!A294", "294")</f>
        <v>294</v>
      </c>
      <c r="F36" t="s">
        <v>50</v>
      </c>
    </row>
    <row r="37" spans="3:6" x14ac:dyDescent="0.35">
      <c r="C37">
        <v>29</v>
      </c>
      <c r="D37" s="8" t="str">
        <f>HYPERLINK("#'Table 29'!A1", "How confident or unconfident would you be that you could perform the following digital activities?: Research a topic")</f>
        <v>How confident or unconfident would you be that you could perform the following digital activities?: Research a topic</v>
      </c>
      <c r="E37" s="14" t="str">
        <f>HYPERLINK("#'Full Results'!A306", "306")</f>
        <v>306</v>
      </c>
      <c r="F37" t="s">
        <v>50</v>
      </c>
    </row>
    <row r="38" spans="3:6" x14ac:dyDescent="0.35">
      <c r="C38">
        <v>30</v>
      </c>
      <c r="D38" s="8" t="str">
        <f>HYPERLINK("#'Table 30'!A1", "How confident or unconfident would you be that you could perform the following digital activities?: Edit a photo")</f>
        <v>How confident or unconfident would you be that you could perform the following digital activities?: Edit a photo</v>
      </c>
      <c r="E38" s="14" t="str">
        <f>HYPERLINK("#'Full Results'!A318", "318")</f>
        <v>318</v>
      </c>
      <c r="F38" t="s">
        <v>50</v>
      </c>
    </row>
    <row r="39" spans="3:6" x14ac:dyDescent="0.35">
      <c r="C39">
        <v>31</v>
      </c>
      <c r="D39" s="8" t="str">
        <f>HYPERLINK("#'Table 31'!A1", "How confident or unconfident would you be that you could perform the following digital activities?: Create your own website")</f>
        <v>How confident or unconfident would you be that you could perform the following digital activities?: Create your own website</v>
      </c>
      <c r="E39" s="14" t="str">
        <f>HYPERLINK("#'Full Results'!A330", "330")</f>
        <v>330</v>
      </c>
      <c r="F39" t="s">
        <v>50</v>
      </c>
    </row>
    <row r="40" spans="3:6" x14ac:dyDescent="0.35">
      <c r="C40">
        <v>32</v>
      </c>
      <c r="D40" s="8" t="str">
        <f>HYPERLINK("#'Table 32'!A1", "How confident or unconfident would you be that you could perform the following digital activities?: Program a small application")</f>
        <v>How confident or unconfident would you be that you could perform the following digital activities?: Program a small application</v>
      </c>
      <c r="E40" s="14" t="str">
        <f>HYPERLINK("#'Full Results'!A342", "342")</f>
        <v>342</v>
      </c>
      <c r="F40" t="s">
        <v>50</v>
      </c>
    </row>
    <row r="41" spans="3:6" x14ac:dyDescent="0.35">
      <c r="C41">
        <v>33</v>
      </c>
      <c r="D41" s="8" t="str">
        <f>HYPERLINK("#'Table 33'!A1", "How confident or unconfident would you be that you could perform the following digital activities?: Build a machine learning model")</f>
        <v>How confident or unconfident would you be that you could perform the following digital activities?: Build a machine learning model</v>
      </c>
      <c r="E41" s="14" t="str">
        <f>HYPERLINK("#'Full Results'!A354", "354")</f>
        <v>354</v>
      </c>
      <c r="F41" t="s">
        <v>50</v>
      </c>
    </row>
    <row r="42" spans="3:6" x14ac:dyDescent="0.35">
      <c r="C42">
        <v>34</v>
      </c>
      <c r="D42" s="8" t="str">
        <f>HYPERLINK("#'Table 34'!A1", "How confident or unconfident would you be that you could perform the following digital activities?: Book an appointment with a doctor")</f>
        <v>How confident or unconfident would you be that you could perform the following digital activities?: Book an appointment with a doctor</v>
      </c>
      <c r="E42" s="14" t="str">
        <f>HYPERLINK("#'Full Results'!A366", "366")</f>
        <v>366</v>
      </c>
      <c r="F42" t="s">
        <v>50</v>
      </c>
    </row>
    <row r="43" spans="3:6" x14ac:dyDescent="0.35">
      <c r="C43">
        <v>35</v>
      </c>
      <c r="D43" s="8" t="str">
        <f>HYPERLINK("#'Table 35'!A1", "How confident or unconfident would you be that you could perform the following digital activities?: Schedule a video meeting")</f>
        <v>How confident or unconfident would you be that you could perform the following digital activities?: Schedule a video meeting</v>
      </c>
      <c r="E43" s="14" t="str">
        <f>HYPERLINK("#'Full Results'!A378", "378")</f>
        <v>378</v>
      </c>
      <c r="F43" t="s">
        <v>50</v>
      </c>
    </row>
    <row r="44" spans="3:6" x14ac:dyDescent="0.35">
      <c r="C44">
        <v>36</v>
      </c>
      <c r="D44" s="8" t="str">
        <f>HYPERLINK("#'Table 36'!A1", "How confident or unconfident would you be that you could perform the following digital activities?: Use two-factor authentication")</f>
        <v>How confident or unconfident would you be that you could perform the following digital activities?: Use two-factor authentication</v>
      </c>
      <c r="E44" s="14" t="str">
        <f>HYPERLINK("#'Full Results'!A390", "390")</f>
        <v>390</v>
      </c>
      <c r="F44" t="s">
        <v>50</v>
      </c>
    </row>
    <row r="45" spans="3:6" x14ac:dyDescent="0.35">
      <c r="C45">
        <v>37</v>
      </c>
      <c r="D45" s="8" t="str">
        <f>HYPERLINK("#'Table 37'!A1", "How confident or unconfident would you be that you could perform the following digital activities?: Edit a video")</f>
        <v>How confident or unconfident would you be that you could perform the following digital activities?: Edit a video</v>
      </c>
      <c r="E45" s="14" t="str">
        <f>HYPERLINK("#'Full Results'!A402", "402")</f>
        <v>402</v>
      </c>
      <c r="F45" t="s">
        <v>50</v>
      </c>
    </row>
    <row r="46" spans="3:6" x14ac:dyDescent="0.35">
      <c r="C46">
        <v>38</v>
      </c>
      <c r="D46" s="8" t="str">
        <f>HYPERLINK("#'Table 38'!A1", "How confident or unconfident would you be that you could perform the following digital activities?: Analyse a large dataset that wouldn’t fit into a spreadsheet")</f>
        <v>How confident or unconfident would you be that you could perform the following digital activities?: Analyse a large dataset that wouldn’t fit into a spreadsheet</v>
      </c>
      <c r="E46" s="14" t="str">
        <f>HYPERLINK("#'Full Results'!A414", "414")</f>
        <v>414</v>
      </c>
      <c r="F46" t="s">
        <v>50</v>
      </c>
    </row>
    <row r="47" spans="3:6" x14ac:dyDescent="0.35">
      <c r="C47">
        <v>39</v>
      </c>
      <c r="D47" s="8" t="str">
        <f>HYPERLINK("#'Table 39'!A1", "Grid Summary: In the last three months, have you used the Internet or a software to do any of the following?")</f>
        <v>Grid Summary: In the last three months, have you used the Internet or a software to do any of the following?</v>
      </c>
      <c r="E47" s="7"/>
      <c r="F47" t="s">
        <v>50</v>
      </c>
    </row>
    <row r="48" spans="3:6" x14ac:dyDescent="0.35">
      <c r="C48">
        <v>40</v>
      </c>
      <c r="D48" s="8" t="str">
        <f>HYPERLINK("#'Table 40'!A1", "In the last three months, have you used the Internet or a software to do any of the following?: Copied or moved files or folders")</f>
        <v>In the last three months, have you used the Internet or a software to do any of the following?: Copied or moved files or folders</v>
      </c>
      <c r="E48" s="14" t="str">
        <f>HYPERLINK("#'Full Results'!A426", "426")</f>
        <v>426</v>
      </c>
      <c r="F48" t="s">
        <v>50</v>
      </c>
    </row>
    <row r="49" spans="3:6" x14ac:dyDescent="0.35">
      <c r="C49">
        <v>41</v>
      </c>
      <c r="D49" s="8" t="str">
        <f>HYPERLINK("#'Table 41'!A1", "In the last three months, have you used the Internet or a software to do any of the following?: Saved files on Internet storage space")</f>
        <v>In the last three months, have you used the Internet or a software to do any of the following?: Saved files on Internet storage space</v>
      </c>
      <c r="E49" s="14" t="str">
        <f>HYPERLINK("#'Full Results'!A432", "432")</f>
        <v>432</v>
      </c>
      <c r="F49" t="s">
        <v>50</v>
      </c>
    </row>
    <row r="50" spans="3:6" x14ac:dyDescent="0.35">
      <c r="C50">
        <v>42</v>
      </c>
      <c r="D50" s="8" t="str">
        <f>HYPERLINK("#'Table 42'!A1", "In the last three months, have you used the Internet or a software to do any of the following?: Obtained information from public authorities/services' websites")</f>
        <v>In the last three months, have you used the Internet or a software to do any of the following?: Obtained information from public authorities/services' websites</v>
      </c>
      <c r="E50" s="14" t="str">
        <f>HYPERLINK("#'Full Results'!A438", "438")</f>
        <v>438</v>
      </c>
      <c r="F50" t="s">
        <v>50</v>
      </c>
    </row>
    <row r="51" spans="3:6" x14ac:dyDescent="0.35">
      <c r="C51">
        <v>43</v>
      </c>
      <c r="D51" s="8" t="str">
        <f>HYPERLINK("#'Table 43'!A1", "In the last three months, have you used the Internet or a software to do any of the following?: Finding information about goods or services")</f>
        <v>In the last three months, have you used the Internet or a software to do any of the following?: Finding information about goods or services</v>
      </c>
      <c r="E51" s="14" t="str">
        <f>HYPERLINK("#'Full Results'!A444", "444")</f>
        <v>444</v>
      </c>
      <c r="F51" t="s">
        <v>50</v>
      </c>
    </row>
    <row r="52" spans="3:6" x14ac:dyDescent="0.35">
      <c r="C52">
        <v>44</v>
      </c>
      <c r="D52" s="8" t="str">
        <f>HYPERLINK("#'Table 44'!A1", "In the last three months, have you used the Internet or a software to do any of the following?: Seeking health-related information")</f>
        <v>In the last three months, have you used the Internet or a software to do any of the following?: Seeking health-related information</v>
      </c>
      <c r="E52" s="14" t="str">
        <f>HYPERLINK("#'Full Results'!A450", "450")</f>
        <v>450</v>
      </c>
      <c r="F52" t="s">
        <v>50</v>
      </c>
    </row>
    <row r="53" spans="3:6" x14ac:dyDescent="0.35">
      <c r="C53">
        <v>45</v>
      </c>
      <c r="D53" s="8" t="str">
        <f>HYPERLINK("#'Table 45'!A1", "In the last three months, have you used the Internet or a software to do any of the following?: Sending/receiving emails")</f>
        <v>In the last three months, have you used the Internet or a software to do any of the following?: Sending/receiving emails</v>
      </c>
      <c r="E53" s="14" t="str">
        <f>HYPERLINK("#'Full Results'!A456", "456")</f>
        <v>456</v>
      </c>
      <c r="F53" t="s">
        <v>50</v>
      </c>
    </row>
    <row r="54" spans="3:6" x14ac:dyDescent="0.35">
      <c r="C54">
        <v>46</v>
      </c>
      <c r="D54" s="8" t="str">
        <f>HYPERLINK("#'Table 46'!A1", "In the last three months, have you used the Internet or a software to do any of the following?: Participating in social networks")</f>
        <v>In the last three months, have you used the Internet or a software to do any of the following?: Participating in social networks</v>
      </c>
      <c r="E54" s="14" t="str">
        <f>HYPERLINK("#'Full Results'!A462", "462")</f>
        <v>462</v>
      </c>
      <c r="F54" t="s">
        <v>50</v>
      </c>
    </row>
    <row r="55" spans="3:6" x14ac:dyDescent="0.35">
      <c r="C55">
        <v>47</v>
      </c>
      <c r="D55" s="8" t="str">
        <f>HYPERLINK("#'Table 47'!A1", "In the last three months, have you used the Internet or a software to do any of the following?: Telephoning/video calls over the internet")</f>
        <v>In the last three months, have you used the Internet or a software to do any of the following?: Telephoning/video calls over the internet</v>
      </c>
      <c r="E55" s="14" t="str">
        <f>HYPERLINK("#'Full Results'!A468", "468")</f>
        <v>468</v>
      </c>
      <c r="F55" t="s">
        <v>50</v>
      </c>
    </row>
    <row r="56" spans="3:6" x14ac:dyDescent="0.35">
      <c r="C56">
        <v>48</v>
      </c>
      <c r="D56" s="8" t="str">
        <f>HYPERLINK("#'Table 48'!A1", "In the last three months, have you used the Internet or a software to do any of the following?: Uploading self-created content to any website to be shared")</f>
        <v>In the last three months, have you used the Internet or a software to do any of the following?: Uploading self-created content to any website to be shared</v>
      </c>
      <c r="E56" s="14" t="str">
        <f>HYPERLINK("#'Full Results'!A474", "474")</f>
        <v>474</v>
      </c>
      <c r="F56" t="s">
        <v>50</v>
      </c>
    </row>
    <row r="57" spans="3:6" x14ac:dyDescent="0.35">
      <c r="C57">
        <v>49</v>
      </c>
      <c r="D57" s="8" t="str">
        <f>HYPERLINK("#'Table 49'!A1", "In the last three months, have you used the Internet or a software to do any of the following?: Transferring files between computers or other devices")</f>
        <v>In the last three months, have you used the Internet or a software to do any of the following?: Transferring files between computers or other devices</v>
      </c>
      <c r="E57" s="14" t="str">
        <f>HYPERLINK("#'Full Results'!A480", "480")</f>
        <v>480</v>
      </c>
      <c r="F57" t="s">
        <v>50</v>
      </c>
    </row>
    <row r="58" spans="3:6" x14ac:dyDescent="0.35">
      <c r="C58">
        <v>50</v>
      </c>
      <c r="D58" s="8" t="str">
        <f>HYPERLINK("#'Table 50'!A1", "In the last three months, have you used the Internet or a software to do any of the following?: Installing software and applications (apps)")</f>
        <v>In the last three months, have you used the Internet or a software to do any of the following?: Installing software and applications (apps)</v>
      </c>
      <c r="E58" s="14" t="str">
        <f>HYPERLINK("#'Full Results'!A486", "486")</f>
        <v>486</v>
      </c>
      <c r="F58" t="s">
        <v>50</v>
      </c>
    </row>
    <row r="59" spans="3:6" x14ac:dyDescent="0.35">
      <c r="C59">
        <v>51</v>
      </c>
      <c r="D59" s="8" t="str">
        <f>HYPERLINK("#'Table 51'!A1", "In the last three months, have you used the Internet or a software to do any of the following?: Changing settings of any software, including operational system or security programs")</f>
        <v>In the last three months, have you used the Internet or a software to do any of the following?: Changing settings of any software, including operational system or security programs</v>
      </c>
      <c r="E59" s="14" t="str">
        <f>HYPERLINK("#'Full Results'!A492", "492")</f>
        <v>492</v>
      </c>
      <c r="F59" t="s">
        <v>50</v>
      </c>
    </row>
    <row r="60" spans="3:6" x14ac:dyDescent="0.35">
      <c r="C60">
        <v>52</v>
      </c>
      <c r="D60" s="8" t="str">
        <f>HYPERLINK("#'Table 52'!A1", "In the last three months, have you used the Internet or a software to do any of the following?: Online purchases")</f>
        <v>In the last three months, have you used the Internet or a software to do any of the following?: Online purchases</v>
      </c>
      <c r="E60" s="14" t="str">
        <f>HYPERLINK("#'Full Results'!A498", "498")</f>
        <v>498</v>
      </c>
      <c r="F60" t="s">
        <v>50</v>
      </c>
    </row>
    <row r="61" spans="3:6" x14ac:dyDescent="0.35">
      <c r="C61">
        <v>53</v>
      </c>
      <c r="D61" s="8" t="str">
        <f>HYPERLINK("#'Table 53'!A1", "In the last three months, have you used the Internet or a software to do any of the following?: Selling online")</f>
        <v>In the last three months, have you used the Internet or a software to do any of the following?: Selling online</v>
      </c>
      <c r="E61" s="14" t="str">
        <f>HYPERLINK("#'Full Results'!A504", "504")</f>
        <v>504</v>
      </c>
      <c r="F61" t="s">
        <v>50</v>
      </c>
    </row>
    <row r="62" spans="3:6" x14ac:dyDescent="0.35">
      <c r="C62">
        <v>54</v>
      </c>
      <c r="D62" s="8" t="str">
        <f>HYPERLINK("#'Table 54'!A1", "In the last three months, have you used the Internet or a software to do any of the following?: Used online learning resources")</f>
        <v>In the last three months, have you used the Internet or a software to do any of the following?: Used online learning resources</v>
      </c>
      <c r="E62" s="14" t="str">
        <f>HYPERLINK("#'Full Results'!A510", "510")</f>
        <v>510</v>
      </c>
      <c r="F62" t="s">
        <v>50</v>
      </c>
    </row>
    <row r="63" spans="3:6" x14ac:dyDescent="0.35">
      <c r="C63">
        <v>55</v>
      </c>
      <c r="D63" s="8" t="str">
        <f>HYPERLINK("#'Table 55'!A1", "In the last three months, have you used the Internet or a software to do any of the following?: Internet banking")</f>
        <v>In the last three months, have you used the Internet or a software to do any of the following?: Internet banking</v>
      </c>
      <c r="E63" s="14" t="str">
        <f>HYPERLINK("#'Full Results'!A516", "516")</f>
        <v>516</v>
      </c>
      <c r="F63" t="s">
        <v>50</v>
      </c>
    </row>
    <row r="64" spans="3:6" x14ac:dyDescent="0.35">
      <c r="C64">
        <v>56</v>
      </c>
      <c r="D64" s="8" t="str">
        <f>HYPERLINK("#'Table 56'!A1", "In the last three months, have you used the Internet or a software to do any of the following?: Used word processing software")</f>
        <v>In the last three months, have you used the Internet or a software to do any of the following?: Used word processing software</v>
      </c>
      <c r="E64" s="14" t="str">
        <f>HYPERLINK("#'Full Results'!A522", "522")</f>
        <v>522</v>
      </c>
      <c r="F64" t="s">
        <v>50</v>
      </c>
    </row>
    <row r="65" spans="3:6" x14ac:dyDescent="0.35">
      <c r="C65">
        <v>57</v>
      </c>
      <c r="D65" s="8" t="str">
        <f>HYPERLINK("#'Table 57'!A1", "In the last three months, have you used the Internet or a software to do any of the following?: Used spreadsheet software")</f>
        <v>In the last three months, have you used the Internet or a software to do any of the following?: Used spreadsheet software</v>
      </c>
      <c r="E65" s="14" t="str">
        <f>HYPERLINK("#'Full Results'!A528", "528")</f>
        <v>528</v>
      </c>
      <c r="F65" t="s">
        <v>50</v>
      </c>
    </row>
    <row r="66" spans="3:6" x14ac:dyDescent="0.35">
      <c r="C66">
        <v>58</v>
      </c>
      <c r="D66" s="8" t="str">
        <f>HYPERLINK("#'Table 58'!A1", "In the last three months, have you used the Internet or a software to do any of the following?: Used software to edit photos, video or audio files")</f>
        <v>In the last three months, have you used the Internet or a software to do any of the following?: Used software to edit photos, video or audio files</v>
      </c>
      <c r="E66" s="14" t="str">
        <f>HYPERLINK("#'Full Results'!A534", "534")</f>
        <v>534</v>
      </c>
      <c r="F66" t="s">
        <v>50</v>
      </c>
    </row>
    <row r="67" spans="3:6" x14ac:dyDescent="0.35">
      <c r="C67">
        <v>59</v>
      </c>
      <c r="D67" s="8" t="str">
        <f>HYPERLINK("#'Table 59'!A1", "In the last three months, have you used the Internet or a software to do any of the following?: Created presentation or document integrating text, pictures, tables or charts")</f>
        <v>In the last three months, have you used the Internet or a software to do any of the following?: Created presentation or document integrating text, pictures, tables or charts</v>
      </c>
      <c r="E67" s="14" t="str">
        <f>HYPERLINK("#'Full Results'!A540", "540")</f>
        <v>540</v>
      </c>
      <c r="F67" t="s">
        <v>50</v>
      </c>
    </row>
    <row r="68" spans="3:6" x14ac:dyDescent="0.35">
      <c r="C68">
        <v>60</v>
      </c>
      <c r="D68" s="8" t="str">
        <f>HYPERLINK("#'Table 60'!A1", "In the last three months, have you used the Internet or a software to do any of the following?: Used advanced functions of spreadsheet to organise and analyse data (sorting, filtering, using formulas, creating charts)")</f>
        <v>In the last three months, have you used the Internet or a software to do any of the following?: Used advanced functions of spreadsheet to organise and analyse data (sorting, filtering, using formulas, creating charts)</v>
      </c>
      <c r="E68" s="14" t="str">
        <f>HYPERLINK("#'Full Results'!A546", "546")</f>
        <v>546</v>
      </c>
      <c r="F68" t="s">
        <v>50</v>
      </c>
    </row>
    <row r="69" spans="3:6" x14ac:dyDescent="0.35">
      <c r="C69">
        <v>61</v>
      </c>
      <c r="D69" s="8" t="str">
        <f>HYPERLINK("#'Table 61'!A1", "In the last three months, have you used the Internet or a software to do any of the following?: Have written a code in a programming language")</f>
        <v>In the last three months, have you used the Internet or a software to do any of the following?: Have written a code in a programming language</v>
      </c>
      <c r="E69" s="14" t="str">
        <f>HYPERLINK("#'Full Results'!A552", "552")</f>
        <v>552</v>
      </c>
      <c r="F69" t="s">
        <v>50</v>
      </c>
    </row>
    <row r="70" spans="3:6" x14ac:dyDescent="0.35">
      <c r="C70">
        <v>62</v>
      </c>
      <c r="D70" s="8" t="str">
        <f>HYPERLINK("#'Table 62'!A1", "Where did you learn the majority of your own digital skills?Please select all that apply")</f>
        <v>Where did you learn the majority of your own digital skills?Please select all that apply</v>
      </c>
      <c r="E70" s="14" t="str">
        <f>HYPERLINK("#'Full Results'!A558", "558")</f>
        <v>558</v>
      </c>
      <c r="F70" t="s">
        <v>50</v>
      </c>
    </row>
    <row r="71" spans="3:6" x14ac:dyDescent="0.35">
      <c r="C71">
        <v>63</v>
      </c>
      <c r="D71" s="8" t="str">
        <f>HYPERLINK("#'Table 63'!A1", "Which digital skills do you think it is important for an average worker to be able to do today?Please select all that apply")</f>
        <v>Which digital skills do you think it is important for an average worker to be able to do today?Please select all that apply</v>
      </c>
      <c r="E71" s="14" t="str">
        <f>HYPERLINK("#'Full Results'!A571", "571")</f>
        <v>571</v>
      </c>
      <c r="F71" t="s">
        <v>50</v>
      </c>
    </row>
    <row r="72" spans="3:6" x14ac:dyDescent="0.35">
      <c r="C72">
        <v>64</v>
      </c>
      <c r="D72" s="8" t="str">
        <f>HYPERLINK("#'Table 64'!A1", "And which digital skills do you think it is not important for an average worker to be able to do today?Please select all that apply")</f>
        <v>And which digital skills do you think it is not important for an average worker to be able to do today?Please select all that apply</v>
      </c>
      <c r="E72" s="14" t="str">
        <f>HYPERLINK("#'Full Results'!A586", "586")</f>
        <v>586</v>
      </c>
      <c r="F72" t="s">
        <v>50</v>
      </c>
    </row>
    <row r="73" spans="3:6" x14ac:dyDescent="0.35">
      <c r="C73">
        <v>65</v>
      </c>
      <c r="D73" s="8" t="str">
        <f>HYPERLINK("#'Table 65'!A1", "Grid Summary: How important or unimportant is it to you that your child/children learn the following digital skills in school?")</f>
        <v>Grid Summary: How important or unimportant is it to you that your child/children learn the following digital skills in school?</v>
      </c>
      <c r="E73" s="7"/>
      <c r="F73" t="s">
        <v>535</v>
      </c>
    </row>
    <row r="74" spans="3:6" x14ac:dyDescent="0.35">
      <c r="C74">
        <v>66</v>
      </c>
      <c r="D74" s="8" t="str">
        <f>HYPERLINK("#'Table 66'!A1", "How important or unimportant is it to you that your child/children learn the following digital skills in school?: Share a document online")</f>
        <v>How important or unimportant is it to you that your child/children learn the following digital skills in school?: Share a document online</v>
      </c>
      <c r="E74" s="14" t="str">
        <f>HYPERLINK("#'Full Results'!A601", "601")</f>
        <v>601</v>
      </c>
      <c r="F74" t="s">
        <v>535</v>
      </c>
    </row>
    <row r="75" spans="3:6" x14ac:dyDescent="0.35">
      <c r="C75">
        <v>67</v>
      </c>
      <c r="D75" s="8" t="str">
        <f>HYPERLINK("#'Table 67'!A1", "How important or unimportant is it to you that your child/children learn the following digital skills in school?: Tracking changes in a document")</f>
        <v>How important or unimportant is it to you that your child/children learn the following digital skills in school?: Tracking changes in a document</v>
      </c>
      <c r="E75" s="14" t="str">
        <f>HYPERLINK("#'Full Results'!A613", "613")</f>
        <v>613</v>
      </c>
      <c r="F75" t="s">
        <v>535</v>
      </c>
    </row>
    <row r="76" spans="3:6" x14ac:dyDescent="0.35">
      <c r="C76">
        <v>68</v>
      </c>
      <c r="D76" s="8" t="str">
        <f>HYPERLINK("#'Table 68'!A1", "How important or unimportant is it to you that your child/children learn the following digital skills in school?: Posting responsibly on social media")</f>
        <v>How important or unimportant is it to you that your child/children learn the following digital skills in school?: Posting responsibly on social media</v>
      </c>
      <c r="E76" s="14" t="str">
        <f>HYPERLINK("#'Full Results'!A625", "625")</f>
        <v>625</v>
      </c>
      <c r="F76" t="s">
        <v>535</v>
      </c>
    </row>
    <row r="77" spans="3:6" x14ac:dyDescent="0.35">
      <c r="C77">
        <v>69</v>
      </c>
      <c r="D77" s="8" t="str">
        <f>HYPERLINK("#'Table 69'!A1", "How important or unimportant is it to you that your child/children learn the following digital skills in school?: Researching a topic online")</f>
        <v>How important or unimportant is it to you that your child/children learn the following digital skills in school?: Researching a topic online</v>
      </c>
      <c r="E77" s="14" t="str">
        <f>HYPERLINK("#'Full Results'!A637", "637")</f>
        <v>637</v>
      </c>
      <c r="F77" t="s">
        <v>535</v>
      </c>
    </row>
    <row r="78" spans="3:6" x14ac:dyDescent="0.35">
      <c r="C78">
        <v>70</v>
      </c>
      <c r="D78" s="8" t="str">
        <f>HYPERLINK("#'Table 70'!A1", "How important or unimportant is it to you that your child/children learn the following digital skills in school?: Backing up their data")</f>
        <v>How important or unimportant is it to you that your child/children learn the following digital skills in school?: Backing up their data</v>
      </c>
      <c r="E78" s="14" t="str">
        <f>HYPERLINK("#'Full Results'!A649", "649")</f>
        <v>649</v>
      </c>
      <c r="F78" t="s">
        <v>535</v>
      </c>
    </row>
    <row r="79" spans="3:6" x14ac:dyDescent="0.35">
      <c r="C79">
        <v>71</v>
      </c>
      <c r="D79" s="8" t="str">
        <f>HYPERLINK("#'Table 71'!A1", "How important or unimportant is it to you that your child/children learn the following digital skills in school?: Creating a basic spreadsheet")</f>
        <v>How important or unimportant is it to you that your child/children learn the following digital skills in school?: Creating a basic spreadsheet</v>
      </c>
      <c r="E79" s="14" t="str">
        <f>HYPERLINK("#'Full Results'!A661", "661")</f>
        <v>661</v>
      </c>
      <c r="F79" t="s">
        <v>535</v>
      </c>
    </row>
    <row r="80" spans="3:6" x14ac:dyDescent="0.35">
      <c r="C80">
        <v>72</v>
      </c>
      <c r="D80" s="8" t="str">
        <f>HYPERLINK("#'Table 72'!A1", "How important or unimportant is it to you that your child/children learn the following digital skills in school?: Learning how to program")</f>
        <v>How important or unimportant is it to you that your child/children learn the following digital skills in school?: Learning how to program</v>
      </c>
      <c r="E80" s="14" t="str">
        <f>HYPERLINK("#'Full Results'!A673", "673")</f>
        <v>673</v>
      </c>
      <c r="F80" t="s">
        <v>535</v>
      </c>
    </row>
    <row r="81" spans="3:6" x14ac:dyDescent="0.35">
      <c r="C81">
        <v>73</v>
      </c>
      <c r="D81" s="8" t="str">
        <f>HYPERLINK("#'Table 73'!A1", "How important or unimportant is it to you that your child/children learn the following digital skills in school?: Create their own website")</f>
        <v>How important or unimportant is it to you that your child/children learn the following digital skills in school?: Create their own website</v>
      </c>
      <c r="E81" s="14" t="str">
        <f>HYPERLINK("#'Full Results'!A685", "685")</f>
        <v>685</v>
      </c>
      <c r="F81" t="s">
        <v>535</v>
      </c>
    </row>
    <row r="82" spans="3:6" x14ac:dyDescent="0.35">
      <c r="C82">
        <v>74</v>
      </c>
      <c r="D82" s="8" t="str">
        <f>HYPERLINK("#'Table 74'!A1", "How important or unimportant is it to you that your child/children learn the following digital skills in school?: Build a machine learning model")</f>
        <v>How important or unimportant is it to you that your child/children learn the following digital skills in school?: Build a machine learning model</v>
      </c>
      <c r="E82" s="14" t="str">
        <f>HYPERLINK("#'Full Results'!A697", "697")</f>
        <v>697</v>
      </c>
      <c r="F82" t="s">
        <v>535</v>
      </c>
    </row>
    <row r="83" spans="3:6" x14ac:dyDescent="0.35">
      <c r="C83">
        <v>75</v>
      </c>
      <c r="D83" s="8" t="str">
        <f>HYPERLINK("#'Table 75'!A1", "Grid Summary: When choosing a digital product or service, how important or unimportant do the following features of the service tend to be?")</f>
        <v>Grid Summary: When choosing a digital product or service, how important or unimportant do the following features of the service tend to be?</v>
      </c>
      <c r="E83" s="7"/>
      <c r="F83" t="s">
        <v>50</v>
      </c>
    </row>
    <row r="84" spans="3:6" x14ac:dyDescent="0.35">
      <c r="C84">
        <v>76</v>
      </c>
      <c r="D84" s="8" t="str">
        <f>HYPERLINK("#'Table 76'!A1", "When choosing a digital product or service, how important or unimportant do the following features of the service tend to be?: Price")</f>
        <v>When choosing a digital product or service, how important or unimportant do the following features of the service tend to be?: Price</v>
      </c>
      <c r="E84" s="14" t="str">
        <f>HYPERLINK("#'Full Results'!A709", "709")</f>
        <v>709</v>
      </c>
      <c r="F84" t="s">
        <v>50</v>
      </c>
    </row>
    <row r="85" spans="3:6" x14ac:dyDescent="0.35">
      <c r="C85">
        <v>77</v>
      </c>
      <c r="D85" s="8" t="str">
        <f>HYPERLINK("#'Table 77'!A1", "When choosing a digital product or service, how important or unimportant do the following features of the service tend to be?: How easy the service is to use")</f>
        <v>When choosing a digital product or service, how important or unimportant do the following features of the service tend to be?: How easy the service is to use</v>
      </c>
      <c r="E85" s="14" t="str">
        <f>HYPERLINK("#'Full Results'!A721", "721")</f>
        <v>721</v>
      </c>
      <c r="F85" t="s">
        <v>50</v>
      </c>
    </row>
    <row r="86" spans="3:6" x14ac:dyDescent="0.35">
      <c r="C86">
        <v>78</v>
      </c>
      <c r="D86" s="8" t="str">
        <f>HYPERLINK("#'Table 78'!A1", "When choosing a digital product or service, how important or unimportant do the following features of the service tend to be?: Features offered by the service")</f>
        <v>When choosing a digital product or service, how important or unimportant do the following features of the service tend to be?: Features offered by the service</v>
      </c>
      <c r="E86" s="14" t="str">
        <f>HYPERLINK("#'Full Results'!A733", "733")</f>
        <v>733</v>
      </c>
      <c r="F86" t="s">
        <v>50</v>
      </c>
    </row>
    <row r="87" spans="3:6" x14ac:dyDescent="0.35">
      <c r="C87">
        <v>79</v>
      </c>
      <c r="D87" s="8" t="str">
        <f>HYPERLINK("#'Table 79'!A1", "When choosing a digital product or service, how important or unimportant do the following features of the service tend to be?: Ensuring data privacy")</f>
        <v>When choosing a digital product or service, how important or unimportant do the following features of the service tend to be?: Ensuring data privacy</v>
      </c>
      <c r="E87" s="14" t="str">
        <f>HYPERLINK("#'Full Results'!A745", "745")</f>
        <v>745</v>
      </c>
      <c r="F87" t="s">
        <v>50</v>
      </c>
    </row>
    <row r="88" spans="3:6" x14ac:dyDescent="0.35">
      <c r="C88">
        <v>80</v>
      </c>
      <c r="D88" s="8" t="str">
        <f>HYPERLINK("#'Table 80'!A1", "When choosing a digital product or service, how important or unimportant do the following features of the service tend to be?: Low carbon footprint")</f>
        <v>When choosing a digital product or service, how important or unimportant do the following features of the service tend to be?: Low carbon footprint</v>
      </c>
      <c r="E88" s="14" t="str">
        <f>HYPERLINK("#'Full Results'!A757", "757")</f>
        <v>757</v>
      </c>
      <c r="F88" t="s">
        <v>50</v>
      </c>
    </row>
    <row r="89" spans="3:6" x14ac:dyDescent="0.35">
      <c r="C89">
        <v>81</v>
      </c>
      <c r="D89" s="8" t="str">
        <f>HYPERLINK("#'Table 81'!A1", " Which, if any, of the following descriptions best matches your current work?")</f>
        <v xml:space="preserve"> Which, if any, of the following descriptions best matches your current work?</v>
      </c>
      <c r="E89" s="14" t="str">
        <f>HYPERLINK("#'Full Results'!A769", "769")</f>
        <v>769</v>
      </c>
      <c r="F89" t="s">
        <v>534</v>
      </c>
    </row>
    <row r="90" spans="3:6" x14ac:dyDescent="0.35">
      <c r="C90">
        <v>82</v>
      </c>
      <c r="D90" s="8" t="str">
        <f>HYPERLINK("#'Table 82'!A1", "Grid Summary: How important or unimportant are the following technologies to you personally in getting your job done?")</f>
        <v>Grid Summary: How important or unimportant are the following technologies to you personally in getting your job done?</v>
      </c>
      <c r="E90" s="7"/>
      <c r="F90" t="s">
        <v>534</v>
      </c>
    </row>
    <row r="91" spans="3:6" x14ac:dyDescent="0.35">
      <c r="C91">
        <v>83</v>
      </c>
      <c r="D91" s="8" t="str">
        <f>HYPERLINK("#'Table 83'!A1", "How important or unimportant are the following technologies to you personally in getting your job done?: Smartphone")</f>
        <v>How important or unimportant are the following technologies to you personally in getting your job done?: Smartphone</v>
      </c>
      <c r="E91" s="14" t="str">
        <f>HYPERLINK("#'Full Results'!A778", "778")</f>
        <v>778</v>
      </c>
      <c r="F91" t="s">
        <v>534</v>
      </c>
    </row>
    <row r="92" spans="3:6" x14ac:dyDescent="0.35">
      <c r="C92">
        <v>84</v>
      </c>
      <c r="D92" s="8" t="str">
        <f>HYPERLINK("#'Table 84'!A1", "How important or unimportant are the following technologies to you personally in getting your job done?: Web browser")</f>
        <v>How important or unimportant are the following technologies to you personally in getting your job done?: Web browser</v>
      </c>
      <c r="E92" s="14" t="str">
        <f>HYPERLINK("#'Full Results'!A786", "786")</f>
        <v>786</v>
      </c>
      <c r="F92" t="s">
        <v>534</v>
      </c>
    </row>
    <row r="93" spans="3:6" x14ac:dyDescent="0.35">
      <c r="C93">
        <v>85</v>
      </c>
      <c r="D93" s="8" t="str">
        <f>HYPERLINK("#'Table 85'!A1", "How important or unimportant are the following technologies to you personally in getting your job done?: Text messaging")</f>
        <v>How important or unimportant are the following technologies to you personally in getting your job done?: Text messaging</v>
      </c>
      <c r="E93" s="14" t="str">
        <f>HYPERLINK("#'Full Results'!A794", "794")</f>
        <v>794</v>
      </c>
      <c r="F93" t="s">
        <v>534</v>
      </c>
    </row>
    <row r="94" spans="3:6" x14ac:dyDescent="0.35">
      <c r="C94">
        <v>86</v>
      </c>
      <c r="D94" s="8" t="str">
        <f>HYPERLINK("#'Table 86'!A1", "How important or unimportant are the following technologies to you personally in getting your job done?: Social media")</f>
        <v>How important or unimportant are the following technologies to you personally in getting your job done?: Social media</v>
      </c>
      <c r="E94" s="14" t="str">
        <f>HYPERLINK("#'Full Results'!A802", "802")</f>
        <v>802</v>
      </c>
      <c r="F94" t="s">
        <v>534</v>
      </c>
    </row>
    <row r="95" spans="3:6" x14ac:dyDescent="0.35">
      <c r="C95">
        <v>87</v>
      </c>
      <c r="D95" s="8" t="str">
        <f>HYPERLINK("#'Table 87'!A1", "How important or unimportant are the following technologies to you personally in getting your job done?: Video chat")</f>
        <v>How important or unimportant are the following technologies to you personally in getting your job done?: Video chat</v>
      </c>
      <c r="E95" s="14" t="str">
        <f>HYPERLINK("#'Full Results'!A810", "810")</f>
        <v>810</v>
      </c>
      <c r="F95" t="s">
        <v>534</v>
      </c>
    </row>
    <row r="96" spans="3:6" x14ac:dyDescent="0.35">
      <c r="C96">
        <v>88</v>
      </c>
      <c r="D96" s="8" t="str">
        <f>HYPERLINK("#'Table 88'!A1", "How important or unimportant are the following technologies to you personally in getting your job done?: Documents")</f>
        <v>How important or unimportant are the following technologies to you personally in getting your job done?: Documents</v>
      </c>
      <c r="E96" s="14" t="str">
        <f>HYPERLINK("#'Full Results'!A818", "818")</f>
        <v>818</v>
      </c>
      <c r="F96" t="s">
        <v>534</v>
      </c>
    </row>
    <row r="97" spans="3:6" x14ac:dyDescent="0.35">
      <c r="C97">
        <v>89</v>
      </c>
      <c r="D97" s="8" t="str">
        <f>HYPERLINK("#'Table 89'!A1", "How important or unimportant are the following technologies to you personally in getting your job done?: Spreadsheets")</f>
        <v>How important or unimportant are the following technologies to you personally in getting your job done?: Spreadsheets</v>
      </c>
      <c r="E97" s="14" t="str">
        <f>HYPERLINK("#'Full Results'!A826", "826")</f>
        <v>826</v>
      </c>
      <c r="F97" t="s">
        <v>534</v>
      </c>
    </row>
    <row r="98" spans="3:6" x14ac:dyDescent="0.35">
      <c r="C98">
        <v>90</v>
      </c>
      <c r="D98" s="8" t="str">
        <f>HYPERLINK("#'Table 90'!A1", "How important or unimportant are the following technologies to you personally in getting your job done?: Programming")</f>
        <v>How important or unimportant are the following technologies to you personally in getting your job done?: Programming</v>
      </c>
      <c r="E98" s="14" t="str">
        <f>HYPERLINK("#'Full Results'!A834", "834")</f>
        <v>834</v>
      </c>
      <c r="F98" t="s">
        <v>534</v>
      </c>
    </row>
    <row r="99" spans="3:6" x14ac:dyDescent="0.35">
      <c r="C99">
        <v>91</v>
      </c>
      <c r="D99" s="8" t="str">
        <f>HYPERLINK("#'Table 91'!A1", "How important or unimportant are the following technologies to you personally in getting your job done?: AI / Machine Learning")</f>
        <v>How important or unimportant are the following technologies to you personally in getting your job done?: AI / Machine Learning</v>
      </c>
      <c r="E99" s="14" t="str">
        <f>HYPERLINK("#'Full Results'!A842", "842")</f>
        <v>842</v>
      </c>
      <c r="F99" t="s">
        <v>534</v>
      </c>
    </row>
    <row r="100" spans="3:6" x14ac:dyDescent="0.35">
      <c r="C100">
        <v>92</v>
      </c>
      <c r="D100" s="8" t="str">
        <f>HYPERLINK("#'Table 92'!A1", "Grid Summary: And how important or unimportant are the following online tools to getting your job done?")</f>
        <v>Grid Summary: And how important or unimportant are the following online tools to getting your job done?</v>
      </c>
      <c r="E100" s="7"/>
      <c r="F100" t="s">
        <v>534</v>
      </c>
    </row>
    <row r="101" spans="3:6" x14ac:dyDescent="0.35">
      <c r="C101">
        <v>93</v>
      </c>
      <c r="D101" s="8" t="str">
        <f>HYPERLINK("#'Table 93'!A1", "And how important or unimportant are the following online tools to getting your job done?: Online documents or spreadsheets")</f>
        <v>And how important or unimportant are the following online tools to getting your job done?: Online documents or spreadsheets</v>
      </c>
      <c r="E101" s="14" t="str">
        <f>HYPERLINK("#'Full Results'!A850", "850")</f>
        <v>850</v>
      </c>
      <c r="F101" t="s">
        <v>534</v>
      </c>
    </row>
    <row r="102" spans="3:6" x14ac:dyDescent="0.35">
      <c r="C102">
        <v>94</v>
      </c>
      <c r="D102" s="8" t="str">
        <f>HYPERLINK("#'Table 94'!A1", "And how important or unimportant are the following online tools to getting your job done?: Instant or messaging")</f>
        <v>And how important or unimportant are the following online tools to getting your job done?: Instant or messaging</v>
      </c>
      <c r="E102" s="14" t="str">
        <f>HYPERLINK("#'Full Results'!A858", "858")</f>
        <v>858</v>
      </c>
      <c r="F102" t="s">
        <v>534</v>
      </c>
    </row>
    <row r="103" spans="3:6" x14ac:dyDescent="0.35">
      <c r="C103">
        <v>95</v>
      </c>
      <c r="D103" s="8" t="str">
        <f>HYPERLINK("#'Table 95'!A1", "And how important or unimportant are the following online tools to getting your job done?: Video chat")</f>
        <v>And how important or unimportant are the following online tools to getting your job done?: Video chat</v>
      </c>
      <c r="E103" s="14" t="str">
        <f>HYPERLINK("#'Full Results'!A866", "866")</f>
        <v>866</v>
      </c>
      <c r="F103" t="s">
        <v>534</v>
      </c>
    </row>
    <row r="104" spans="3:6" x14ac:dyDescent="0.35">
      <c r="C104">
        <v>96</v>
      </c>
      <c r="D104" s="8" t="str">
        <f>HYPERLINK("#'Table 96'!A1", "Grid Summary: To what extent are the following preventing you, or not, from getting a better paid job?")</f>
        <v>Grid Summary: To what extent are the following preventing you, or not, from getting a better paid job?</v>
      </c>
      <c r="E104" s="7"/>
      <c r="F104" t="s">
        <v>534</v>
      </c>
    </row>
    <row r="105" spans="3:6" x14ac:dyDescent="0.35">
      <c r="C105">
        <v>97</v>
      </c>
      <c r="D105" s="8" t="str">
        <f>HYPERLINK("#'Table 97'!A1", "To what extent are the following preventing you, or not, from getting a better paid job?: Lack of digital skills")</f>
        <v>To what extent are the following preventing you, or not, from getting a better paid job?: Lack of digital skills</v>
      </c>
      <c r="E105" s="14" t="str">
        <f>HYPERLINK("#'Full Results'!A874", "874")</f>
        <v>874</v>
      </c>
      <c r="F105" t="s">
        <v>534</v>
      </c>
    </row>
    <row r="106" spans="3:6" x14ac:dyDescent="0.35">
      <c r="C106">
        <v>98</v>
      </c>
      <c r="D106" s="8" t="str">
        <f>HYPERLINK("#'Table 98'!A1", "To what extent are the following preventing you, or not, from getting a better paid job?: Gaps in employment")</f>
        <v>To what extent are the following preventing you, or not, from getting a better paid job?: Gaps in employment</v>
      </c>
      <c r="E106" s="14" t="str">
        <f>HYPERLINK("#'Full Results'!A881", "881")</f>
        <v>881</v>
      </c>
      <c r="F106" t="s">
        <v>534</v>
      </c>
    </row>
    <row r="107" spans="3:6" x14ac:dyDescent="0.35">
      <c r="C107">
        <v>99</v>
      </c>
      <c r="D107" s="8" t="str">
        <f>HYPERLINK("#'Table 99'!A1", "To what extent are the following preventing you, or not, from getting a better paid job?: Lack of formal education (e.g. university degree)")</f>
        <v>To what extent are the following preventing you, or not, from getting a better paid job?: Lack of formal education (e.g. university degree)</v>
      </c>
      <c r="E107" s="14" t="str">
        <f>HYPERLINK("#'Full Results'!A888", "888")</f>
        <v>888</v>
      </c>
      <c r="F107" t="s">
        <v>534</v>
      </c>
    </row>
    <row r="108" spans="3:6" x14ac:dyDescent="0.35">
      <c r="C108">
        <v>100</v>
      </c>
      <c r="D108" s="8" t="str">
        <f>HYPERLINK("#'Table 100'!A1", "To what extent are the following preventing you, or not, from getting a better paid job?: Caring responsibilities")</f>
        <v>To what extent are the following preventing you, or not, from getting a better paid job?: Caring responsibilities</v>
      </c>
      <c r="E108" s="14" t="str">
        <f>HYPERLINK("#'Full Results'!A895", "895")</f>
        <v>895</v>
      </c>
      <c r="F108" t="s">
        <v>534</v>
      </c>
    </row>
    <row r="109" spans="3:6" x14ac:dyDescent="0.35">
      <c r="C109">
        <v>101</v>
      </c>
      <c r="D109" s="8" t="str">
        <f>HYPERLINK("#'Table 101'!A1", "To what extent are the following preventing you, or not, from getting a better paid job?: Lack of transportation (e.g. not having access to a car)")</f>
        <v>To what extent are the following preventing you, or not, from getting a better paid job?: Lack of transportation (e.g. not having access to a car)</v>
      </c>
      <c r="E109" s="14" t="str">
        <f>HYPERLINK("#'Full Results'!A902", "902")</f>
        <v>902</v>
      </c>
      <c r="F109" t="s">
        <v>534</v>
      </c>
    </row>
    <row r="110" spans="3:6" x14ac:dyDescent="0.35">
      <c r="C110">
        <v>102</v>
      </c>
      <c r="D110" s="8" t="str">
        <f>HYPERLINK("#'Table 102'!A1", "To what extent are the following preventing you, or not, from getting a better paid job?: Lack of experience")</f>
        <v>To what extent are the following preventing you, or not, from getting a better paid job?: Lack of experience</v>
      </c>
      <c r="E110" s="14" t="str">
        <f>HYPERLINK("#'Full Results'!A909", "909")</f>
        <v>909</v>
      </c>
      <c r="F110" t="s">
        <v>534</v>
      </c>
    </row>
    <row r="111" spans="3:6" x14ac:dyDescent="0.35">
      <c r="C111">
        <v>103</v>
      </c>
      <c r="D111" s="8" t="str">
        <f>HYPERLINK("#'Table 103'!A1", " Which of the following best describes the way you currently work?")</f>
        <v xml:space="preserve"> Which of the following best describes the way you currently work?</v>
      </c>
      <c r="E111" s="14" t="str">
        <f>HYPERLINK("#'Full Results'!A916", "916")</f>
        <v>916</v>
      </c>
      <c r="F111" t="s">
        <v>534</v>
      </c>
    </row>
    <row r="112" spans="3:6" x14ac:dyDescent="0.35">
      <c r="C112">
        <v>104</v>
      </c>
      <c r="D112" s="8" t="str">
        <f>HYPERLINK("#'Table 104'!A1", " You said that you are currently working from home. Do you currently expect to continue to work from home for the foreseeable future?")</f>
        <v xml:space="preserve"> You said that you are currently working from home. Do you currently expect to continue to work from home for the foreseeable future?</v>
      </c>
      <c r="E112" s="14" t="str">
        <f>HYPERLINK("#'Full Results'!A922", "922")</f>
        <v>922</v>
      </c>
      <c r="F112" t="s">
        <v>536</v>
      </c>
    </row>
    <row r="113" spans="3:6" x14ac:dyDescent="0.35">
      <c r="C113">
        <v>105</v>
      </c>
      <c r="D113" s="8" t="str">
        <f>HYPERLINK("#'Table 105'!A1", " When you work from home, are there any digital tools or apps that you normally use at your company’s main place of work that you are not able to access? ")</f>
        <v xml:space="preserve"> When you work from home, are there any digital tools or apps that you normally use at your company’s main place of work that you are not able to access? </v>
      </c>
      <c r="E113" s="14" t="str">
        <f>HYPERLINK("#'Full Results'!A928", "928")</f>
        <v>928</v>
      </c>
      <c r="F113" t="s">
        <v>537</v>
      </c>
    </row>
    <row r="114" spans="3:6" x14ac:dyDescent="0.35">
      <c r="C114">
        <v>106</v>
      </c>
      <c r="D114" s="8" t="str">
        <f>HYPERLINK("#'Table 106'!A1", "Which government related activities have you used a website or app for?Please select all that apply")</f>
        <v>Which government related activities have you used a website or app for?Please select all that apply</v>
      </c>
      <c r="E114" s="14" t="str">
        <f>HYPERLINK("#'Full Results'!A935", "935")</f>
        <v>935</v>
      </c>
      <c r="F114" t="s">
        <v>50</v>
      </c>
    </row>
    <row r="115" spans="3:6" x14ac:dyDescent="0.35">
      <c r="C115">
        <v>107</v>
      </c>
      <c r="D115" s="8" t="str">
        <f>HYPERLINK("#'Table 107'!A1", "And which do you think you would be comfortable using a website or app for?Please select all that apply")</f>
        <v>And which do you think you would be comfortable using a website or app for?Please select all that apply</v>
      </c>
      <c r="E115" s="14" t="str">
        <f>HYPERLINK("#'Full Results'!A948", "948")</f>
        <v>948</v>
      </c>
      <c r="F115" t="s">
        <v>50</v>
      </c>
    </row>
    <row r="116" spans="3:6" x14ac:dyDescent="0.35">
      <c r="C116">
        <v>108</v>
      </c>
      <c r="D116" s="8" t="str">
        <f>HYPERLINK("#'Table 108'!A1", " Overall, how easy or difficult do you find it to use your government’s websites or apps?")</f>
        <v xml:space="preserve"> Overall, how easy or difficult do you find it to use your government’s websites or apps?</v>
      </c>
      <c r="E116" s="14" t="str">
        <f>HYPERLINK("#'Full Results'!A961", "961")</f>
        <v>961</v>
      </c>
      <c r="F116" t="s">
        <v>50</v>
      </c>
    </row>
    <row r="117" spans="3:6" x14ac:dyDescent="0.35">
      <c r="C117">
        <v>109</v>
      </c>
      <c r="D117" s="8" t="str">
        <f>HYPERLINK("#'Table 109'!A1", " If you were trying to find information or a service from your government’s website or app, how confident or unconfident are you that you could find it?")</f>
        <v xml:space="preserve"> If you were trying to find information or a service from your government’s website or app, how confident or unconfident are you that you could find it?</v>
      </c>
      <c r="E117" s="14" t="str">
        <f>HYPERLINK("#'Full Results'!A973", "973")</f>
        <v>973</v>
      </c>
      <c r="F117" t="s">
        <v>50</v>
      </c>
    </row>
    <row r="118" spans="3:6" x14ac:dyDescent="0.35">
      <c r="C118">
        <v>110</v>
      </c>
      <c r="D118" s="8" t="str">
        <f>HYPERLINK("#'Table 110'!A1", "Grid Summary: You said you had used a government website or app to do the following activities. How helpful or unhelpful did you find it?")</f>
        <v>Grid Summary: You said you had used a government website or app to do the following activities. How helpful or unhelpful did you find it?</v>
      </c>
      <c r="E118" s="7"/>
      <c r="F118" t="s">
        <v>538</v>
      </c>
    </row>
    <row r="119" spans="3:6" x14ac:dyDescent="0.35">
      <c r="C119">
        <v>111</v>
      </c>
      <c r="D119" s="8" t="str">
        <f>HYPERLINK("#'Table 111'!A1", "You said you had used a government website or app to do the following activities. How helpful or unhelpful did you find it?: Pay your taxes or a fine")</f>
        <v>You said you had used a government website or app to do the following activities. How helpful or unhelpful did you find it?: Pay your taxes or a fine</v>
      </c>
      <c r="E119" s="14" t="str">
        <f>HYPERLINK("#'Full Results'!A985", "985")</f>
        <v>985</v>
      </c>
      <c r="F119" t="s">
        <v>538</v>
      </c>
    </row>
    <row r="120" spans="3:6" x14ac:dyDescent="0.35">
      <c r="C120">
        <v>112</v>
      </c>
      <c r="D120" s="8" t="str">
        <f>HYPERLINK("#'Table 112'!A1", "You said you had used a government website or app to do the following activities. How helpful or unhelpful did you find it?: Apply for benefits")</f>
        <v>You said you had used a government website or app to do the following activities. How helpful or unhelpful did you find it?: Apply for benefits</v>
      </c>
      <c r="E120" s="14" t="str">
        <f>HYPERLINK("#'Full Results'!A993", "993")</f>
        <v>993</v>
      </c>
      <c r="F120" t="s">
        <v>538</v>
      </c>
    </row>
    <row r="121" spans="3:6" x14ac:dyDescent="0.35">
      <c r="C121">
        <v>113</v>
      </c>
      <c r="D121" s="8" t="str">
        <f>HYPERLINK("#'Table 113'!A1", "You said you had used a government website or app to do the following activities. How helpful or unhelpful did you find it?: Book a medical appointment")</f>
        <v>You said you had used a government website or app to do the following activities. How helpful or unhelpful did you find it?: Book a medical appointment</v>
      </c>
      <c r="E121" s="14" t="str">
        <f>HYPERLINK("#'Full Results'!A1001", "1001")</f>
        <v>1001</v>
      </c>
      <c r="F121" t="s">
        <v>538</v>
      </c>
    </row>
    <row r="122" spans="3:6" x14ac:dyDescent="0.35">
      <c r="C122">
        <v>114</v>
      </c>
      <c r="D122" s="8" t="str">
        <f>HYPERLINK("#'Table 114'!A1", "You said you had used a government website or app to do the following activities. How helpful or unhelpful did you find it?: Have a medical consultation")</f>
        <v>You said you had used a government website or app to do the following activities. How helpful or unhelpful did you find it?: Have a medical consultation</v>
      </c>
      <c r="E122" s="14" t="str">
        <f>HYPERLINK("#'Full Results'!A1009", "1009")</f>
        <v>1009</v>
      </c>
      <c r="F122" t="s">
        <v>538</v>
      </c>
    </row>
    <row r="123" spans="3:6" x14ac:dyDescent="0.35">
      <c r="C123">
        <v>115</v>
      </c>
      <c r="D123" s="8" t="str">
        <f>HYPERLINK("#'Table 115'!A1", "You said you had used a government website or app to do the following activities. How helpful or unhelpful did you find it?: Prove your identity")</f>
        <v>You said you had used a government website or app to do the following activities. How helpful or unhelpful did you find it?: Prove your identity</v>
      </c>
      <c r="E123" s="14" t="str">
        <f>HYPERLINK("#'Full Results'!A1017", "1017")</f>
        <v>1017</v>
      </c>
      <c r="F123" t="s">
        <v>538</v>
      </c>
    </row>
    <row r="124" spans="3:6" x14ac:dyDescent="0.35">
      <c r="C124">
        <v>116</v>
      </c>
      <c r="D124" s="8" t="str">
        <f>HYPERLINK("#'Table 116'!A1", "You said you had used a government website or app to do the following activities. How helpful or unhelpful did you find it?: Accessing medical records")</f>
        <v>You said you had used a government website or app to do the following activities. How helpful or unhelpful did you find it?: Accessing medical records</v>
      </c>
      <c r="E124" s="14" t="str">
        <f>HYPERLINK("#'Full Results'!A1025", "1025")</f>
        <v>1025</v>
      </c>
      <c r="F124" t="s">
        <v>538</v>
      </c>
    </row>
    <row r="125" spans="3:6" x14ac:dyDescent="0.35">
      <c r="C125">
        <v>117</v>
      </c>
      <c r="D125" s="8" t="str">
        <f>HYPERLINK("#'Table 117'!A1", "You said you had used a government website or app to do the following activities. How helpful or unhelpful did you find it?: Renew a passport or driving licence")</f>
        <v>You said you had used a government website or app to do the following activities. How helpful or unhelpful did you find it?: Renew a passport or driving licence</v>
      </c>
      <c r="E125" s="14" t="str">
        <f>HYPERLINK("#'Full Results'!A1033", "1033")</f>
        <v>1033</v>
      </c>
      <c r="F125" t="s">
        <v>538</v>
      </c>
    </row>
    <row r="126" spans="3:6" x14ac:dyDescent="0.35">
      <c r="C126">
        <v>118</v>
      </c>
      <c r="D126" s="8" t="str">
        <f>HYPERLINK("#'Table 118'!A1", "You said you had used a government website or app to do the following activities. How helpful or unhelpful did you find it?: Vote in an election")</f>
        <v>You said you had used a government website or app to do the following activities. How helpful or unhelpful did you find it?: Vote in an election</v>
      </c>
      <c r="E126" s="14" t="str">
        <f>HYPERLINK("#'Full Results'!A1041", "1041")</f>
        <v>1041</v>
      </c>
      <c r="F126" t="s">
        <v>538</v>
      </c>
    </row>
    <row r="127" spans="3:6" x14ac:dyDescent="0.35">
      <c r="C127">
        <v>119</v>
      </c>
      <c r="D127" s="8" t="str">
        <f>HYPERLINK("#'Table 119'!A1", " Which of the following is closest to your view?")</f>
        <v xml:space="preserve"> Which of the following is closest to your view?</v>
      </c>
      <c r="E127" s="14" t="str">
        <f>HYPERLINK("#'Full Results'!A1049", "1049")</f>
        <v>1049</v>
      </c>
      <c r="F127" t="s">
        <v>50</v>
      </c>
    </row>
    <row r="128" spans="3:6" x14ac:dyDescent="0.35">
      <c r="C128">
        <v>120</v>
      </c>
      <c r="D128" s="8" t="str">
        <f>HYPERLINK("#'Table 120'!A1", " Overall, how good or bad a job do you think your Government and public services do at taking advantage of digital technology?")</f>
        <v xml:space="preserve"> Overall, how good or bad a job do you think your Government and public services do at taking advantage of digital technology?</v>
      </c>
      <c r="E128" s="14" t="str">
        <f>HYPERLINK("#'Full Results'!A1054", "1054")</f>
        <v>1054</v>
      </c>
      <c r="F128" t="s">
        <v>50</v>
      </c>
    </row>
    <row r="129" spans="3:6" x14ac:dyDescent="0.35">
      <c r="C129">
        <v>121</v>
      </c>
      <c r="D129" s="8" t="str">
        <f>HYPERLINK("#'Table 121'!A1", "Grid Summary: For each of the below technologies, please indicate how familiar you are with the technology")</f>
        <v>Grid Summary: For each of the below technologies, please indicate how familiar you are with the technology</v>
      </c>
      <c r="E129" s="7"/>
      <c r="F129" t="s">
        <v>50</v>
      </c>
    </row>
    <row r="130" spans="3:6" x14ac:dyDescent="0.35">
      <c r="C130">
        <v>122</v>
      </c>
      <c r="D130" s="8" t="str">
        <f>HYPERLINK("#'Table 122'!A1", "For each of the below technologies, please indicate how familiar you are with the technology: Electric cars")</f>
        <v>For each of the below technologies, please indicate how familiar you are with the technology: Electric cars</v>
      </c>
      <c r="E130" s="14" t="str">
        <f>HYPERLINK("#'Full Results'!A1063", "1063")</f>
        <v>1063</v>
      </c>
      <c r="F130" t="s">
        <v>50</v>
      </c>
    </row>
    <row r="131" spans="3:6" x14ac:dyDescent="0.35">
      <c r="C131">
        <v>123</v>
      </c>
      <c r="D131" s="8" t="str">
        <f>HYPERLINK("#'Table 123'!A1", "For each of the below technologies, please indicate how familiar you are with the technology: Self-driving taxis")</f>
        <v>For each of the below technologies, please indicate how familiar you are with the technology: Self-driving taxis</v>
      </c>
      <c r="E131" s="14" t="str">
        <f>HYPERLINK("#'Full Results'!A1070", "1070")</f>
        <v>1070</v>
      </c>
      <c r="F131" t="s">
        <v>50</v>
      </c>
    </row>
    <row r="132" spans="3:6" x14ac:dyDescent="0.35">
      <c r="C132">
        <v>124</v>
      </c>
      <c r="D132" s="8" t="str">
        <f>HYPERLINK("#'Table 124'!A1", "For each of the below technologies, please indicate how familiar you are with the technology: Self-driving personal cars")</f>
        <v>For each of the below technologies, please indicate how familiar you are with the technology: Self-driving personal cars</v>
      </c>
      <c r="E132" s="14" t="str">
        <f>HYPERLINK("#'Full Results'!A1077", "1077")</f>
        <v>1077</v>
      </c>
      <c r="F132" t="s">
        <v>50</v>
      </c>
    </row>
    <row r="133" spans="3:6" x14ac:dyDescent="0.35">
      <c r="C133">
        <v>125</v>
      </c>
      <c r="D133" s="8" t="str">
        <f>HYPERLINK("#'Table 125'!A1", "For each of the below technologies, please indicate how familiar you are with the technology: The Metaverse")</f>
        <v>For each of the below technologies, please indicate how familiar you are with the technology: The Metaverse</v>
      </c>
      <c r="E133" s="14" t="str">
        <f>HYPERLINK("#'Full Results'!A1084", "1084")</f>
        <v>1084</v>
      </c>
      <c r="F133" t="s">
        <v>50</v>
      </c>
    </row>
    <row r="134" spans="3:6" x14ac:dyDescent="0.35">
      <c r="C134">
        <v>126</v>
      </c>
      <c r="D134" s="8" t="str">
        <f>HYPERLINK("#'Table 126'!A1", "For each of the below technologies, please indicate how familiar you are with the technology: Advanced virtual reality headsets")</f>
        <v>For each of the below technologies, please indicate how familiar you are with the technology: Advanced virtual reality headsets</v>
      </c>
      <c r="E134" s="14" t="str">
        <f>HYPERLINK("#'Full Results'!A1091", "1091")</f>
        <v>1091</v>
      </c>
      <c r="F134" t="s">
        <v>50</v>
      </c>
    </row>
    <row r="135" spans="3:6" x14ac:dyDescent="0.35">
      <c r="C135">
        <v>127</v>
      </c>
      <c r="D135" s="8" t="str">
        <f>HYPERLINK("#'Table 127'!A1", "For each of the below technologies, please indicate how familiar you are with the technology: Household robots")</f>
        <v>For each of the below technologies, please indicate how familiar you are with the technology: Household robots</v>
      </c>
      <c r="E135" s="14" t="str">
        <f>HYPERLINK("#'Full Results'!A1098", "1098")</f>
        <v>1098</v>
      </c>
      <c r="F135" t="s">
        <v>50</v>
      </c>
    </row>
    <row r="136" spans="3:6" x14ac:dyDescent="0.35">
      <c r="C136">
        <v>128</v>
      </c>
      <c r="D136" s="8" t="str">
        <f>HYPERLINK("#'Table 128'!A1", "For each of the below technologies, please indicate how familiar you are with the technology: Drone delivery")</f>
        <v>For each of the below technologies, please indicate how familiar you are with the technology: Drone delivery</v>
      </c>
      <c r="E136" s="14" t="str">
        <f>HYPERLINK("#'Full Results'!A1105", "1105")</f>
        <v>1105</v>
      </c>
      <c r="F136" t="s">
        <v>50</v>
      </c>
    </row>
    <row r="137" spans="3:6" x14ac:dyDescent="0.35">
      <c r="C137">
        <v>129</v>
      </c>
      <c r="D137" s="8" t="str">
        <f>HYPERLINK("#'Table 129'!A1", "For each of the below technologies, please indicate how familiar you are with the technology: Augmented reality headsets")</f>
        <v>For each of the below technologies, please indicate how familiar you are with the technology: Augmented reality headsets</v>
      </c>
      <c r="E137" s="14" t="str">
        <f>HYPERLINK("#'Full Results'!A1112", "1112")</f>
        <v>1112</v>
      </c>
      <c r="F137" t="s">
        <v>50</v>
      </c>
    </row>
    <row r="138" spans="3:6" x14ac:dyDescent="0.35">
      <c r="C138">
        <v>130</v>
      </c>
      <c r="D138" s="8" t="str">
        <f>HYPERLINK("#'Table 130'!A1", "For each of the below technologies, please indicate how familiar you are with the technology: Artificial Intelligence assistants at work")</f>
        <v>For each of the below technologies, please indicate how familiar you are with the technology: Artificial Intelligence assistants at work</v>
      </c>
      <c r="E138" s="14" t="str">
        <f>HYPERLINK("#'Full Results'!A1119", "1119")</f>
        <v>1119</v>
      </c>
      <c r="F138" t="s">
        <v>50</v>
      </c>
    </row>
    <row r="139" spans="3:6" x14ac:dyDescent="0.35">
      <c r="C139">
        <v>131</v>
      </c>
      <c r="D139" s="8" t="str">
        <f>HYPERLINK("#'Table 131'!A1", "For each of the below technologies, please indicate how familiar you are with the technology: Artificial Intelligence medical diagnosis")</f>
        <v>For each of the below technologies, please indicate how familiar you are with the technology: Artificial Intelligence medical diagnosis</v>
      </c>
      <c r="E139" s="14" t="str">
        <f>HYPERLINK("#'Full Results'!A1126", "1126")</f>
        <v>1126</v>
      </c>
      <c r="F139" t="s">
        <v>50</v>
      </c>
    </row>
    <row r="140" spans="3:6" x14ac:dyDescent="0.35">
      <c r="C140">
        <v>132</v>
      </c>
      <c r="D140" s="8" t="str">
        <f>HYPERLINK("#'Table 132'!A1", "For each of the below technologies, please indicate how familiar you are with the technology: Artificial Intelligence checkouts at shops (“just walk out”)")</f>
        <v>For each of the below technologies, please indicate how familiar you are with the technology: Artificial Intelligence checkouts at shops (“just walk out”)</v>
      </c>
      <c r="E140" s="14" t="str">
        <f>HYPERLINK("#'Full Results'!A1133", "1133")</f>
        <v>1133</v>
      </c>
      <c r="F140" t="s">
        <v>50</v>
      </c>
    </row>
    <row r="141" spans="3:6" x14ac:dyDescent="0.35">
      <c r="C141">
        <v>133</v>
      </c>
      <c r="D141" s="8" t="str">
        <f>HYPERLINK("#'Table 133'!A1", "For each of the below technologies, please indicate how familiar you are with the technology: Blockchain (eg cryptocurrency, NFTs etc)")</f>
        <v>For each of the below technologies, please indicate how familiar you are with the technology: Blockchain (eg cryptocurrency, NFTs etc)</v>
      </c>
      <c r="E141" s="14" t="str">
        <f>HYPERLINK("#'Full Results'!A1140", "1140")</f>
        <v>1140</v>
      </c>
      <c r="F141" t="s">
        <v>50</v>
      </c>
    </row>
    <row r="142" spans="3:6" x14ac:dyDescent="0.35">
      <c r="C142">
        <v>134</v>
      </c>
      <c r="D142" s="8" t="str">
        <f>HYPERLINK("#'Table 134'!A1", "For each of the below technologies, please indicate how familiar you are with the technology: 6G")</f>
        <v>For each of the below technologies, please indicate how familiar you are with the technology: 6G</v>
      </c>
      <c r="E142" s="14" t="str">
        <f>HYPERLINK("#'Full Results'!A1147", "1147")</f>
        <v>1147</v>
      </c>
      <c r="F142" t="s">
        <v>50</v>
      </c>
    </row>
    <row r="143" spans="3:6" x14ac:dyDescent="0.35">
      <c r="C143">
        <v>135</v>
      </c>
      <c r="D143" s="8" t="str">
        <f>HYPERLINK("#'Table 135'!A1", "Grid Summary: For each of the below technologies, please indicate how comfortable you are with the technology")</f>
        <v>Grid Summary: For each of the below technologies, please indicate how comfortable you are with the technology</v>
      </c>
      <c r="E143" s="7"/>
      <c r="F143" t="s">
        <v>50</v>
      </c>
    </row>
    <row r="144" spans="3:6" x14ac:dyDescent="0.35">
      <c r="C144">
        <v>136</v>
      </c>
      <c r="D144" s="8" t="str">
        <f>HYPERLINK("#'Table 136'!A1", "For each of the below technologies, please indicate how comfortable you are with the technology: Electric cars")</f>
        <v>For each of the below technologies, please indicate how comfortable you are with the technology: Electric cars</v>
      </c>
      <c r="E144" s="14" t="str">
        <f>HYPERLINK("#'Full Results'!A1154", "1154")</f>
        <v>1154</v>
      </c>
      <c r="F144" t="s">
        <v>50</v>
      </c>
    </row>
    <row r="145" spans="3:6" x14ac:dyDescent="0.35">
      <c r="C145">
        <v>137</v>
      </c>
      <c r="D145" s="8" t="str">
        <f>HYPERLINK("#'Table 137'!A1", "For each of the below technologies, please indicate how comfortable you are with the technology: Self-driving taxis")</f>
        <v>For each of the below technologies, please indicate how comfortable you are with the technology: Self-driving taxis</v>
      </c>
      <c r="E145" s="14" t="str">
        <f>HYPERLINK("#'Full Results'!A1161", "1161")</f>
        <v>1161</v>
      </c>
      <c r="F145" t="s">
        <v>50</v>
      </c>
    </row>
    <row r="146" spans="3:6" x14ac:dyDescent="0.35">
      <c r="C146">
        <v>138</v>
      </c>
      <c r="D146" s="8" t="str">
        <f>HYPERLINK("#'Table 138'!A1", "For each of the below technologies, please indicate how comfortable you are with the technology: Self-driving personal cars")</f>
        <v>For each of the below technologies, please indicate how comfortable you are with the technology: Self-driving personal cars</v>
      </c>
      <c r="E146" s="14" t="str">
        <f>HYPERLINK("#'Full Results'!A1168", "1168")</f>
        <v>1168</v>
      </c>
      <c r="F146" t="s">
        <v>50</v>
      </c>
    </row>
    <row r="147" spans="3:6" x14ac:dyDescent="0.35">
      <c r="C147">
        <v>139</v>
      </c>
      <c r="D147" s="8" t="str">
        <f>HYPERLINK("#'Table 139'!A1", "For each of the below technologies, please indicate how comfortable you are with the technology: The Metaverse")</f>
        <v>For each of the below technologies, please indicate how comfortable you are with the technology: The Metaverse</v>
      </c>
      <c r="E147" s="14" t="str">
        <f>HYPERLINK("#'Full Results'!A1175", "1175")</f>
        <v>1175</v>
      </c>
      <c r="F147" t="s">
        <v>50</v>
      </c>
    </row>
    <row r="148" spans="3:6" x14ac:dyDescent="0.35">
      <c r="C148">
        <v>140</v>
      </c>
      <c r="D148" s="8" t="str">
        <f>HYPERLINK("#'Table 140'!A1", "For each of the below technologies, please indicate how comfortable you are with the technology: Advanced virtual reality headsets")</f>
        <v>For each of the below technologies, please indicate how comfortable you are with the technology: Advanced virtual reality headsets</v>
      </c>
      <c r="E148" s="14" t="str">
        <f>HYPERLINK("#'Full Results'!A1182", "1182")</f>
        <v>1182</v>
      </c>
      <c r="F148" t="s">
        <v>50</v>
      </c>
    </row>
    <row r="149" spans="3:6" x14ac:dyDescent="0.35">
      <c r="C149">
        <v>141</v>
      </c>
      <c r="D149" s="8" t="str">
        <f>HYPERLINK("#'Table 141'!A1", "For each of the below technologies, please indicate how comfortable you are with the technology: Augmented reality headsets")</f>
        <v>For each of the below technologies, please indicate how comfortable you are with the technology: Augmented reality headsets</v>
      </c>
      <c r="E149" s="14" t="str">
        <f>HYPERLINK("#'Full Results'!A1189", "1189")</f>
        <v>1189</v>
      </c>
      <c r="F149" t="s">
        <v>50</v>
      </c>
    </row>
    <row r="150" spans="3:6" x14ac:dyDescent="0.35">
      <c r="C150">
        <v>142</v>
      </c>
      <c r="D150" s="8" t="str">
        <f>HYPERLINK("#'Table 142'!A1", "For each of the below technologies, please indicate how comfortable you are with the technology: Artificial Intelligence assistants at work")</f>
        <v>For each of the below technologies, please indicate how comfortable you are with the technology: Artificial Intelligence assistants at work</v>
      </c>
      <c r="E150" s="14" t="str">
        <f>HYPERLINK("#'Full Results'!A1196", "1196")</f>
        <v>1196</v>
      </c>
      <c r="F150" t="s">
        <v>50</v>
      </c>
    </row>
    <row r="151" spans="3:6" x14ac:dyDescent="0.35">
      <c r="C151">
        <v>143</v>
      </c>
      <c r="D151" s="8" t="str">
        <f>HYPERLINK("#'Table 143'!A1", "For each of the below technologies, please indicate how comfortable you are with the technology: Artificial Intelligence medical diagnosis")</f>
        <v>For each of the below technologies, please indicate how comfortable you are with the technology: Artificial Intelligence medical diagnosis</v>
      </c>
      <c r="E151" s="14" t="str">
        <f>HYPERLINK("#'Full Results'!A1203", "1203")</f>
        <v>1203</v>
      </c>
      <c r="F151" t="s">
        <v>50</v>
      </c>
    </row>
    <row r="152" spans="3:6" x14ac:dyDescent="0.35">
      <c r="C152">
        <v>144</v>
      </c>
      <c r="D152" s="8" t="str">
        <f>HYPERLINK("#'Table 144'!A1", "For each of the below technologies, please indicate how comfortable you are with the technology: Artificial Intelligence checkouts at shops (“just walk out”)")</f>
        <v>For each of the below technologies, please indicate how comfortable you are with the technology: Artificial Intelligence checkouts at shops (“just walk out”)</v>
      </c>
      <c r="E152" s="14" t="str">
        <f>HYPERLINK("#'Full Results'!A1210", "1210")</f>
        <v>1210</v>
      </c>
      <c r="F152" t="s">
        <v>50</v>
      </c>
    </row>
    <row r="153" spans="3:6" x14ac:dyDescent="0.35">
      <c r="C153">
        <v>145</v>
      </c>
      <c r="D153" s="8" t="str">
        <f>HYPERLINK("#'Table 145'!A1", "For each of the below technologies, please indicate how comfortable you are with the technology: Blockchain (eg cryptocurrency, NFTs etc)")</f>
        <v>For each of the below technologies, please indicate how comfortable you are with the technology: Blockchain (eg cryptocurrency, NFTs etc)</v>
      </c>
      <c r="E153" s="14" t="str">
        <f>HYPERLINK("#'Full Results'!A1217", "1217")</f>
        <v>1217</v>
      </c>
      <c r="F153" t="s">
        <v>50</v>
      </c>
    </row>
    <row r="154" spans="3:6" x14ac:dyDescent="0.35">
      <c r="C154">
        <v>146</v>
      </c>
      <c r="D154" s="8" t="str">
        <f>HYPERLINK("#'Table 146'!A1", "For each of the below technologies, please indicate how comfortable you are with the technology: Household robots")</f>
        <v>For each of the below technologies, please indicate how comfortable you are with the technology: Household robots</v>
      </c>
      <c r="E154" s="14" t="str">
        <f>HYPERLINK("#'Full Results'!A1224", "1224")</f>
        <v>1224</v>
      </c>
      <c r="F154" t="s">
        <v>50</v>
      </c>
    </row>
    <row r="155" spans="3:6" x14ac:dyDescent="0.35">
      <c r="C155">
        <v>147</v>
      </c>
      <c r="D155" s="8" t="str">
        <f>HYPERLINK("#'Table 147'!A1", "For each of the below technologies, please indicate how comfortable you are with the technology: Drone delivery")</f>
        <v>For each of the below technologies, please indicate how comfortable you are with the technology: Drone delivery</v>
      </c>
      <c r="E155" s="14" t="str">
        <f>HYPERLINK("#'Full Results'!A1231", "1231")</f>
        <v>1231</v>
      </c>
      <c r="F155" t="s">
        <v>50</v>
      </c>
    </row>
    <row r="156" spans="3:6" x14ac:dyDescent="0.35">
      <c r="C156">
        <v>148</v>
      </c>
      <c r="D156" s="8" t="str">
        <f>HYPERLINK("#'Table 148'!A1", "For each of the below technologies, please indicate how comfortable you are with the technology: 6G")</f>
        <v>For each of the below technologies, please indicate how comfortable you are with the technology: 6G</v>
      </c>
      <c r="E156" s="14" t="str">
        <f>HYPERLINK("#'Full Results'!A1238", "1238")</f>
        <v>1238</v>
      </c>
      <c r="F156" t="s">
        <v>50</v>
      </c>
    </row>
    <row r="157" spans="3:6" x14ac:dyDescent="0.35">
      <c r="C157">
        <v>149</v>
      </c>
      <c r="D157" s="8" t="str">
        <f>HYPERLINK("#'Table 149'!A1", "Which of these technologies, if any, would you be likely to use in the next decade?Please select all that apply")</f>
        <v>Which of these technologies, if any, would you be likely to use in the next decade?Please select all that apply</v>
      </c>
      <c r="E157" s="14" t="str">
        <f>HYPERLINK("#'Full Results'!A1245", "1245")</f>
        <v>1245</v>
      </c>
      <c r="F157" t="s">
        <v>50</v>
      </c>
    </row>
    <row r="158" spans="3:6" x14ac:dyDescent="0.35">
      <c r="C158">
        <v>150</v>
      </c>
      <c r="D158" s="8" t="str">
        <f>HYPERLINK("#'Table 150'!A1", "And which of these technologies, if any, do you think could make a significant difference to your everyday life?Please select all that apply")</f>
        <v>And which of these technologies, if any, do you think could make a significant difference to your everyday life?Please select all that apply</v>
      </c>
      <c r="E158" s="14" t="str">
        <f>HYPERLINK("#'Full Results'!A1261", "1261")</f>
        <v>1261</v>
      </c>
      <c r="F158" t="s">
        <v>50</v>
      </c>
    </row>
    <row r="159" spans="3:6" x14ac:dyDescent="0.35">
      <c r="C159">
        <v>151</v>
      </c>
      <c r="D159" s="8" t="str">
        <f>HYPERLINK("#'Table 151'!A1", "Grid Summary: Do you tend to agree or disagree with the following?")</f>
        <v>Grid Summary: Do you tend to agree or disagree with the following?</v>
      </c>
      <c r="E159" s="7"/>
      <c r="F159" t="s">
        <v>50</v>
      </c>
    </row>
    <row r="160" spans="3:6" x14ac:dyDescent="0.35">
      <c r="C160">
        <v>152</v>
      </c>
      <c r="D160" s="8" t="str">
        <f>HYPERLINK("#'Table 152'!A1", "Do you tend to agree or disagree with the following?: It is difficult for a modern economy to prosper without a strong digital technology sector")</f>
        <v>Do you tend to agree or disagree with the following?: It is difficult for a modern economy to prosper without a strong digital technology sector</v>
      </c>
      <c r="E160" s="14" t="str">
        <f>HYPERLINK("#'Full Results'!A1276", "1276")</f>
        <v>1276</v>
      </c>
      <c r="F160" t="s">
        <v>50</v>
      </c>
    </row>
    <row r="161" spans="3:6" x14ac:dyDescent="0.35">
      <c r="C161">
        <v>153</v>
      </c>
      <c r="D161" s="8" t="str">
        <f>HYPERLINK("#'Table 153'!A1", "Do you tend to agree or disagree with the following?: Europe’s technology sector is falling behind other countries or regions")</f>
        <v>Do you tend to agree or disagree with the following?: Europe’s technology sector is falling behind other countries or regions</v>
      </c>
      <c r="E161" s="14" t="str">
        <f>HYPERLINK("#'Full Results'!A1288", "1288")</f>
        <v>1288</v>
      </c>
      <c r="F161" t="s">
        <v>50</v>
      </c>
    </row>
    <row r="162" spans="3:6" x14ac:dyDescent="0.35">
      <c r="C162">
        <v>154</v>
      </c>
      <c r="D162" s="8" t="str">
        <f>HYPERLINK("#'Table 154'!A1", "Do you tend to agree or disagree with the following?: We should do more to help people learn basic digital skills")</f>
        <v>Do you tend to agree or disagree with the following?: We should do more to help people learn basic digital skills</v>
      </c>
      <c r="E162" s="14" t="str">
        <f>HYPERLINK("#'Full Results'!A1300", "1300")</f>
        <v>1300</v>
      </c>
      <c r="F162" t="s">
        <v>50</v>
      </c>
    </row>
    <row r="163" spans="3:6" x14ac:dyDescent="0.35">
      <c r="C163">
        <v>155</v>
      </c>
      <c r="D163" s="8" t="str">
        <f>HYPERLINK("#'Table 155'!A1", "Do you tend to agree or disagree with the following?: I would like to have learned more about computing and digital technology when I was at school")</f>
        <v>Do you tend to agree or disagree with the following?: I would like to have learned more about computing and digital technology when I was at school</v>
      </c>
      <c r="E163" s="14" t="str">
        <f>HYPERLINK("#'Full Results'!A1312", "1312")</f>
        <v>1312</v>
      </c>
      <c r="F163" t="s">
        <v>50</v>
      </c>
    </row>
    <row r="164" spans="3:6" x14ac:dyDescent="0.35">
      <c r="C164">
        <v>156</v>
      </c>
      <c r="D164" s="8" t="str">
        <f>HYPERLINK("#'Table 156'!A1", "Do you tend to agree or disagree with the following?: My country is a digital frontrunner when compared to other European countries")</f>
        <v>Do you tend to agree or disagree with the following?: My country is a digital frontrunner when compared to other European countries</v>
      </c>
      <c r="E164" s="14" t="str">
        <f>HYPERLINK("#'Full Results'!A1324", "1324")</f>
        <v>1324</v>
      </c>
      <c r="F164" t="s">
        <v>50</v>
      </c>
    </row>
    <row r="165" spans="3:6" x14ac:dyDescent="0.35">
      <c r="C165">
        <v>157</v>
      </c>
      <c r="D165" s="8" t="str">
        <f>HYPERLINK("#'Table 157'!A1", " Overall, how confident or unconfident are you in keeping your personal digital data secure?")</f>
        <v xml:space="preserve"> Overall, how confident or unconfident are you in keeping your personal digital data secure?</v>
      </c>
      <c r="E165" s="14" t="str">
        <f>HYPERLINK("#'Full Results'!A1336", "1336")</f>
        <v>1336</v>
      </c>
      <c r="F165" t="s">
        <v>50</v>
      </c>
    </row>
    <row r="166" spans="3:6" x14ac:dyDescent="0.35">
      <c r="C166">
        <v>158</v>
      </c>
      <c r="D166" s="8" t="str">
        <f>HYPERLINK("#'Table 158'!A1", "Grid Summary: To what extent, if at all, would you trust your personal digital data to be secure in the following circumstances?")</f>
        <v>Grid Summary: To what extent, if at all, would you trust your personal digital data to be secure in the following circumstances?</v>
      </c>
      <c r="E166" s="7"/>
      <c r="F166" t="s">
        <v>50</v>
      </c>
    </row>
    <row r="167" spans="3:6" x14ac:dyDescent="0.35">
      <c r="C167">
        <v>159</v>
      </c>
      <c r="D167" s="8" t="str">
        <f>HYPERLINK("#'Table 159'!A1", "To what extent, if at all, would you trust your personal digital data to be secure in the following circumstances?: Hosted by your government")</f>
        <v>To what extent, if at all, would you trust your personal digital data to be secure in the following circumstances?: Hosted by your government</v>
      </c>
      <c r="E167" s="14" t="str">
        <f>HYPERLINK("#'Full Results'!A1348", "1348")</f>
        <v>1348</v>
      </c>
      <c r="F167" t="s">
        <v>50</v>
      </c>
    </row>
    <row r="168" spans="3:6" x14ac:dyDescent="0.35">
      <c r="C168">
        <v>160</v>
      </c>
      <c r="D168" s="8" t="str">
        <f>HYPERLINK("#'Table 160'!A1", "To what extent, if at all, would you trust your personal digital data to be secure in the following circumstances?: Hosted in the on premises computers of a company from your country")</f>
        <v>To what extent, if at all, would you trust your personal digital data to be secure in the following circumstances?: Hosted in the on premises computers of a company from your country</v>
      </c>
      <c r="E168" s="14" t="str">
        <f>HYPERLINK("#'Full Results'!A1357", "1357")</f>
        <v>1357</v>
      </c>
      <c r="F168" t="s">
        <v>50</v>
      </c>
    </row>
    <row r="169" spans="3:6" x14ac:dyDescent="0.35">
      <c r="C169">
        <v>161</v>
      </c>
      <c r="D169" s="8" t="str">
        <f>HYPERLINK("#'Table 161'!A1", "To what extent, if at all, would you trust your personal digital data to be secure in the following circumstances?: Hosted in a data centre in your country owned by an international company")</f>
        <v>To what extent, if at all, would you trust your personal digital data to be secure in the following circumstances?: Hosted in a data centre in your country owned by an international company</v>
      </c>
      <c r="E169" s="14" t="str">
        <f>HYPERLINK("#'Full Results'!A1366", "1366")</f>
        <v>1366</v>
      </c>
      <c r="F169" t="s">
        <v>50</v>
      </c>
    </row>
    <row r="170" spans="3:6" x14ac:dyDescent="0.35">
      <c r="C170">
        <v>162</v>
      </c>
      <c r="D170" s="8" t="str">
        <f>HYPERLINK("#'Table 162'!A1", "To what extent, if at all, would you trust your personal digital data to be secure in the following circumstances?: Hosted in a data centre in another country")</f>
        <v>To what extent, if at all, would you trust your personal digital data to be secure in the following circumstances?: Hosted in a data centre in another country</v>
      </c>
      <c r="E170" s="14" t="str">
        <f>HYPERLINK("#'Full Results'!A1375", "1375")</f>
        <v>1375</v>
      </c>
      <c r="F170" t="s">
        <v>50</v>
      </c>
    </row>
    <row r="171" spans="3:6" x14ac:dyDescent="0.35">
      <c r="C171">
        <v>163</v>
      </c>
      <c r="D171" s="8" t="str">
        <f>HYPERLINK("#'Table 163'!A1", "What do you think is most important to keeping your data secure?Please select up to three")</f>
        <v>What do you think is most important to keeping your data secure?Please select up to three</v>
      </c>
      <c r="E171" s="14" t="str">
        <f>HYPERLINK("#'Full Results'!A1384", "1384")</f>
        <v>1384</v>
      </c>
      <c r="F171" t="s">
        <v>50</v>
      </c>
    </row>
    <row r="172" spans="3:6" x14ac:dyDescent="0.35">
      <c r="C172">
        <v>164</v>
      </c>
      <c r="D172" s="8" t="str">
        <f>HYPERLINK("#'Table 164'!A1", " A data centre is a building or dedicated space used to house computer systems and servers. They are commonly used by companies that operate digital services to run their applications, store data and transfer information to and from their custome...")</f>
        <v xml:space="preserve"> A data centre is a building or dedicated space used to house computer systems and servers. They are commonly used by companies that operate digital services to run their applications, store data and transfer information to and from their custome...</v>
      </c>
      <c r="E172" s="14" t="str">
        <f>HYPERLINK("#'Full Results'!A1395", "1395")</f>
        <v>1395</v>
      </c>
      <c r="F172" t="s">
        <v>50</v>
      </c>
    </row>
    <row r="173" spans="3:6" x14ac:dyDescent="0.35">
      <c r="C173">
        <v>165</v>
      </c>
      <c r="D173" s="8" t="str">
        <f>HYPERLINK("#'Table 165'!A1", " And how important or unimportant do you think it is for a provider of digital services to have a data centre hosted in Europe, even if it is not in your country?")</f>
        <v xml:space="preserve"> And how important or unimportant do you think it is for a provider of digital services to have a data centre hosted in Europe, even if it is not in your country?</v>
      </c>
      <c r="E173" s="14" t="str">
        <f>HYPERLINK("#'Full Results'!A1407", "1407")</f>
        <v>1407</v>
      </c>
      <c r="F173" t="s">
        <v>50</v>
      </c>
    </row>
    <row r="174" spans="3:6" x14ac:dyDescent="0.35">
      <c r="C174">
        <v>166</v>
      </c>
      <c r="D174" s="8" t="str">
        <f>HYPERLINK("#'Table 166'!A1", " Would you support or oppose the building of a new data centre by an international cloud provider in your local city or region?")</f>
        <v xml:space="preserve"> Would you support or oppose the building of a new data centre by an international cloud provider in your local city or region?</v>
      </c>
      <c r="E174" s="14" t="str">
        <f>HYPERLINK("#'Full Results'!A1419", "1419")</f>
        <v>1419</v>
      </c>
      <c r="F174" t="s">
        <v>50</v>
      </c>
    </row>
  </sheetData>
  <pageMargins left="0.7" right="0.7" top="0.75" bottom="0.75" header="0.3" footer="0.3"/>
  <pageSetup paperSize="9" orientation="portrait" horizontalDpi="300" verticalDpi="30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Y1431"/>
  <sheetViews>
    <sheetView showGridLines="0" workbookViewId="0">
      <pane xSplit="2" ySplit="8" topLeftCell="C1404" activePane="bottomRight" state="frozen"/>
      <selection pane="topRight"/>
      <selection pane="bottomLeft"/>
      <selection pane="bottomRight" activeCell="B1408" sqref="B1408"/>
    </sheetView>
  </sheetViews>
  <sheetFormatPr defaultColWidth="10.90625" defaultRowHeight="14.5" x14ac:dyDescent="0.35"/>
  <cols>
    <col min="2" max="2" width="20.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s>
  <sheetData>
    <row r="2" spans="2:25" ht="40" customHeight="1" x14ac:dyDescent="0.35">
      <c r="D2" s="25" t="s">
        <v>531</v>
      </c>
      <c r="E2" s="26"/>
      <c r="F2" s="26"/>
      <c r="G2" s="26"/>
      <c r="H2" s="26"/>
      <c r="I2" s="26"/>
      <c r="J2" s="26"/>
      <c r="K2" s="26"/>
      <c r="L2" s="26"/>
      <c r="M2" s="26"/>
      <c r="N2" s="26"/>
      <c r="O2" s="26"/>
      <c r="P2" s="26"/>
      <c r="Q2" s="26"/>
      <c r="R2" s="26"/>
      <c r="S2" s="26"/>
      <c r="T2" s="26"/>
      <c r="U2" s="26"/>
      <c r="V2" s="26"/>
      <c r="W2" s="26"/>
    </row>
    <row r="5" spans="2:25" ht="30" customHeight="1" x14ac:dyDescent="0.35">
      <c r="B5" s="13"/>
      <c r="C5" s="13"/>
      <c r="D5" s="28" t="s">
        <v>38</v>
      </c>
      <c r="E5" s="28"/>
      <c r="F5" s="13"/>
      <c r="G5" s="28" t="s">
        <v>39</v>
      </c>
      <c r="H5" s="28"/>
      <c r="I5" s="28"/>
      <c r="J5" s="28"/>
      <c r="K5" s="28"/>
      <c r="L5" s="28"/>
      <c r="M5" s="13"/>
      <c r="N5" s="28" t="s">
        <v>40</v>
      </c>
      <c r="O5" s="28"/>
      <c r="P5" s="28"/>
      <c r="Q5" s="28"/>
      <c r="R5" s="28"/>
      <c r="S5" s="28"/>
      <c r="T5" s="28"/>
      <c r="U5" s="28"/>
      <c r="V5" s="28"/>
      <c r="W5" s="13"/>
      <c r="X5" s="28" t="s">
        <v>41</v>
      </c>
      <c r="Y5" s="28"/>
    </row>
    <row r="6" spans="2:25" ht="29"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row>
    <row r="7" spans="2:25" ht="20" customHeight="1" x14ac:dyDescent="0.35">
      <c r="B7" s="10" t="s">
        <v>19</v>
      </c>
      <c r="C7" s="10">
        <v>6838</v>
      </c>
      <c r="D7" s="10">
        <v>3283</v>
      </c>
      <c r="E7" s="10">
        <v>3541</v>
      </c>
      <c r="F7" s="10"/>
      <c r="G7" s="10">
        <v>635</v>
      </c>
      <c r="H7" s="10">
        <v>1075</v>
      </c>
      <c r="I7" s="10">
        <v>1093</v>
      </c>
      <c r="J7" s="10">
        <v>1228</v>
      </c>
      <c r="K7" s="10">
        <v>1156</v>
      </c>
      <c r="L7" s="10">
        <v>1651</v>
      </c>
      <c r="M7" s="10"/>
      <c r="N7" s="10">
        <v>208</v>
      </c>
      <c r="O7" s="10">
        <v>200</v>
      </c>
      <c r="P7" s="10">
        <v>1002</v>
      </c>
      <c r="Q7" s="10">
        <v>1000</v>
      </c>
      <c r="R7" s="10">
        <v>1004</v>
      </c>
      <c r="S7" s="10">
        <v>1006</v>
      </c>
      <c r="T7" s="10">
        <v>1006</v>
      </c>
      <c r="U7" s="10">
        <v>1007</v>
      </c>
      <c r="V7" s="10">
        <v>405</v>
      </c>
      <c r="W7" s="10"/>
      <c r="X7" s="10">
        <v>2650</v>
      </c>
      <c r="Y7" s="10">
        <v>4188</v>
      </c>
    </row>
    <row r="8" spans="2:25" ht="20" customHeight="1" x14ac:dyDescent="0.35">
      <c r="B8" s="11" t="s">
        <v>20</v>
      </c>
      <c r="C8" s="11">
        <v>6838</v>
      </c>
      <c r="D8" s="11">
        <v>3309</v>
      </c>
      <c r="E8" s="11">
        <v>3515</v>
      </c>
      <c r="F8" s="11"/>
      <c r="G8" s="11">
        <v>645</v>
      </c>
      <c r="H8" s="11">
        <v>1026</v>
      </c>
      <c r="I8" s="11">
        <v>1111</v>
      </c>
      <c r="J8" s="11">
        <v>1184</v>
      </c>
      <c r="K8" s="11">
        <v>1140</v>
      </c>
      <c r="L8" s="11">
        <v>1732</v>
      </c>
      <c r="M8" s="11"/>
      <c r="N8" s="11">
        <v>208</v>
      </c>
      <c r="O8" s="11">
        <v>200</v>
      </c>
      <c r="P8" s="11">
        <v>1002</v>
      </c>
      <c r="Q8" s="11">
        <v>1000</v>
      </c>
      <c r="R8" s="11">
        <v>1004</v>
      </c>
      <c r="S8" s="11">
        <v>1006</v>
      </c>
      <c r="T8" s="11">
        <v>1006</v>
      </c>
      <c r="U8" s="11">
        <v>1007</v>
      </c>
      <c r="V8" s="11">
        <v>405</v>
      </c>
      <c r="W8" s="11"/>
      <c r="X8" s="11">
        <v>2436</v>
      </c>
      <c r="Y8" s="11">
        <v>4402</v>
      </c>
    </row>
    <row r="11" spans="2:25" x14ac:dyDescent="0.35">
      <c r="B11" s="6" t="s">
        <v>49</v>
      </c>
    </row>
    <row r="12" spans="2:25" x14ac:dyDescent="0.35">
      <c r="B12" s="24" t="s">
        <v>50</v>
      </c>
      <c r="C12" s="17"/>
      <c r="D12" s="17"/>
      <c r="E12" s="17"/>
      <c r="F12" s="17"/>
      <c r="G12" s="17"/>
      <c r="H12" s="17"/>
      <c r="I12" s="17"/>
      <c r="J12" s="17"/>
      <c r="K12" s="17"/>
      <c r="L12" s="17"/>
      <c r="M12" s="17"/>
      <c r="N12" s="17"/>
      <c r="O12" s="17"/>
      <c r="P12" s="17"/>
      <c r="Q12" s="17"/>
      <c r="R12" s="17"/>
      <c r="S12" s="17"/>
      <c r="T12" s="17"/>
      <c r="U12" s="17"/>
      <c r="V12" s="17"/>
      <c r="W12" s="17"/>
      <c r="X12" s="17"/>
      <c r="Y12" s="17"/>
    </row>
    <row r="13" spans="2:25" x14ac:dyDescent="0.35">
      <c r="B13" t="s">
        <v>42</v>
      </c>
      <c r="C13" s="17">
        <v>0.417547336477327</v>
      </c>
      <c r="D13" s="17">
        <v>0.45490951495031701</v>
      </c>
      <c r="E13" s="17">
        <v>0.38090205869681798</v>
      </c>
      <c r="F13" s="17"/>
      <c r="G13" s="17">
        <v>0.499739647854479</v>
      </c>
      <c r="H13" s="17">
        <v>0.47010099878180001</v>
      </c>
      <c r="I13" s="17">
        <v>0.45292336026246499</v>
      </c>
      <c r="J13" s="17">
        <v>0.41771785933206401</v>
      </c>
      <c r="K13" s="17">
        <v>0.39887158048520199</v>
      </c>
      <c r="L13" s="17">
        <v>0.34533292900599</v>
      </c>
      <c r="M13" s="17"/>
      <c r="N13" s="17">
        <v>0.33540298208336899</v>
      </c>
      <c r="O13" s="17">
        <v>0.29451171819507199</v>
      </c>
      <c r="P13" s="17">
        <v>0.41732256373384202</v>
      </c>
      <c r="Q13" s="17">
        <v>0.55632920247918805</v>
      </c>
      <c r="R13" s="17">
        <v>0.46624134120710198</v>
      </c>
      <c r="S13" s="17">
        <v>0.35607935408617603</v>
      </c>
      <c r="T13" s="17">
        <v>0.42716179737388399</v>
      </c>
      <c r="U13" s="17">
        <v>0.37940753209782202</v>
      </c>
      <c r="V13" s="17">
        <v>0.281298325471246</v>
      </c>
      <c r="W13" s="17"/>
      <c r="X13" s="17">
        <v>0.43636312166220298</v>
      </c>
      <c r="Y13" s="17">
        <v>0.407135310797481</v>
      </c>
    </row>
    <row r="14" spans="2:25" x14ac:dyDescent="0.35">
      <c r="B14" t="s">
        <v>43</v>
      </c>
      <c r="C14" s="17">
        <v>0.416773764701033</v>
      </c>
      <c r="D14" s="17">
        <v>0.44568137342198799</v>
      </c>
      <c r="E14" s="17">
        <v>0.39033319379855702</v>
      </c>
      <c r="F14" s="17"/>
      <c r="G14" s="17">
        <v>0.42697416340229999</v>
      </c>
      <c r="H14" s="17">
        <v>0.47716938968598299</v>
      </c>
      <c r="I14" s="17">
        <v>0.42032452558357503</v>
      </c>
      <c r="J14" s="17">
        <v>0.40362981129078701</v>
      </c>
      <c r="K14" s="17">
        <v>0.39119951877272802</v>
      </c>
      <c r="L14" s="17">
        <v>0.40076214257841197</v>
      </c>
      <c r="M14" s="17"/>
      <c r="N14" s="17">
        <v>0.32067539465025902</v>
      </c>
      <c r="O14" s="17">
        <v>0.433749337827596</v>
      </c>
      <c r="P14" s="17">
        <v>0.246794139186438</v>
      </c>
      <c r="Q14" s="17">
        <v>0.26596056373933702</v>
      </c>
      <c r="R14" s="17">
        <v>0.55402742746719902</v>
      </c>
      <c r="S14" s="17">
        <v>0.28578638906789</v>
      </c>
      <c r="T14" s="17">
        <v>0.72934973130801495</v>
      </c>
      <c r="U14" s="17">
        <v>0.46273913672561601</v>
      </c>
      <c r="V14" s="17">
        <v>0.34506562274276698</v>
      </c>
      <c r="W14" s="17"/>
      <c r="X14" s="17">
        <v>0.40721728090010301</v>
      </c>
      <c r="Y14" s="17">
        <v>0.42206200294177898</v>
      </c>
    </row>
    <row r="15" spans="2:25" x14ac:dyDescent="0.35">
      <c r="B15" t="s">
        <v>44</v>
      </c>
      <c r="C15" s="17">
        <v>0.36743628055407601</v>
      </c>
      <c r="D15" s="17">
        <v>0.33133641835816002</v>
      </c>
      <c r="E15" s="17">
        <v>0.401762977932062</v>
      </c>
      <c r="F15" s="17"/>
      <c r="G15" s="17">
        <v>0.45501347927410901</v>
      </c>
      <c r="H15" s="17">
        <v>0.37861406927833602</v>
      </c>
      <c r="I15" s="17">
        <v>0.34531455048221599</v>
      </c>
      <c r="J15" s="17">
        <v>0.349064925713371</v>
      </c>
      <c r="K15" s="17">
        <v>0.33863771849132202</v>
      </c>
      <c r="L15" s="17">
        <v>0.37392749137617198</v>
      </c>
      <c r="M15" s="17"/>
      <c r="N15" s="17">
        <v>0.40048688468225602</v>
      </c>
      <c r="O15" s="17">
        <v>0.432803395342582</v>
      </c>
      <c r="P15" s="17">
        <v>0.33243916941677798</v>
      </c>
      <c r="Q15" s="17">
        <v>0.317946764538584</v>
      </c>
      <c r="R15" s="17">
        <v>0.40093838870371501</v>
      </c>
      <c r="S15" s="17">
        <v>0.26777736511063699</v>
      </c>
      <c r="T15" s="17">
        <v>0.38839055167623499</v>
      </c>
      <c r="U15" s="17">
        <v>0.46152984636205502</v>
      </c>
      <c r="V15" s="17">
        <v>0.40545407708502901</v>
      </c>
      <c r="W15" s="17"/>
      <c r="X15" s="17">
        <v>0.37577212242353197</v>
      </c>
      <c r="Y15" s="17">
        <v>0.36282350469831798</v>
      </c>
    </row>
    <row r="16" spans="2:25" x14ac:dyDescent="0.35">
      <c r="B16" t="s">
        <v>45</v>
      </c>
      <c r="C16" s="17">
        <v>0.318408218962351</v>
      </c>
      <c r="D16" s="17">
        <v>0.34926859676108202</v>
      </c>
      <c r="E16" s="17">
        <v>0.28975803289852797</v>
      </c>
      <c r="F16" s="17"/>
      <c r="G16" s="17">
        <v>0.35827862155750401</v>
      </c>
      <c r="H16" s="17">
        <v>0.33172264653057798</v>
      </c>
      <c r="I16" s="17">
        <v>0.31216710658747698</v>
      </c>
      <c r="J16" s="17">
        <v>0.28921976636157198</v>
      </c>
      <c r="K16" s="17">
        <v>0.295360993021061</v>
      </c>
      <c r="L16" s="17">
        <v>0.33480804645402901</v>
      </c>
      <c r="M16" s="17"/>
      <c r="N16" s="17">
        <v>0.22133627165771499</v>
      </c>
      <c r="O16" s="17">
        <v>0.29591165510515</v>
      </c>
      <c r="P16" s="17">
        <v>0.211671833726499</v>
      </c>
      <c r="Q16" s="17">
        <v>0.26955675378820099</v>
      </c>
      <c r="R16" s="17">
        <v>0.38638673362931297</v>
      </c>
      <c r="S16" s="17">
        <v>0.29517148143079702</v>
      </c>
      <c r="T16" s="17">
        <v>0.34340757372970798</v>
      </c>
      <c r="U16" s="17">
        <v>0.41933904202062999</v>
      </c>
      <c r="V16" s="17">
        <v>0.34021226959628198</v>
      </c>
      <c r="W16" s="17"/>
      <c r="X16" s="17">
        <v>0.37519634818445802</v>
      </c>
      <c r="Y16" s="17">
        <v>0.28698356918231899</v>
      </c>
    </row>
    <row r="17" spans="2:25" x14ac:dyDescent="0.35">
      <c r="B17" t="s">
        <v>46</v>
      </c>
      <c r="C17" s="17">
        <v>0.25181697415852899</v>
      </c>
      <c r="D17" s="17">
        <v>0.27850734872576099</v>
      </c>
      <c r="E17" s="17">
        <v>0.22634662962054899</v>
      </c>
      <c r="F17" s="17"/>
      <c r="G17" s="17">
        <v>0.32876453910008901</v>
      </c>
      <c r="H17" s="17">
        <v>0.31562614057891802</v>
      </c>
      <c r="I17" s="17">
        <v>0.27420018153965098</v>
      </c>
      <c r="J17" s="17">
        <v>0.24299158549730401</v>
      </c>
      <c r="K17" s="17">
        <v>0.230950225022446</v>
      </c>
      <c r="L17" s="17">
        <v>0.190815070567872</v>
      </c>
      <c r="M17" s="17"/>
      <c r="N17" s="17">
        <v>0.185112705227579</v>
      </c>
      <c r="O17" s="17">
        <v>0.18528437003150999</v>
      </c>
      <c r="P17" s="17">
        <v>0.25755448920045199</v>
      </c>
      <c r="Q17" s="17">
        <v>0.36518365486809301</v>
      </c>
      <c r="R17" s="17">
        <v>0.190677103115516</v>
      </c>
      <c r="S17" s="17">
        <v>0.22941996122466499</v>
      </c>
      <c r="T17" s="17">
        <v>0.223673678176672</v>
      </c>
      <c r="U17" s="17">
        <v>0.28643638513117697</v>
      </c>
      <c r="V17" s="17">
        <v>0.21584554805585501</v>
      </c>
      <c r="W17" s="17"/>
      <c r="X17" s="17">
        <v>0.25912471391318398</v>
      </c>
      <c r="Y17" s="17">
        <v>0.247773115598311</v>
      </c>
    </row>
    <row r="18" spans="2:25" x14ac:dyDescent="0.35">
      <c r="B18" t="s">
        <v>47</v>
      </c>
      <c r="C18" s="17">
        <v>7.2848584964193094E-2</v>
      </c>
      <c r="D18" s="17">
        <v>8.9555267863176399E-2</v>
      </c>
      <c r="E18" s="17">
        <v>5.7412400867037E-2</v>
      </c>
      <c r="F18" s="17"/>
      <c r="G18" s="17">
        <v>9.2639952630313604E-2</v>
      </c>
      <c r="H18" s="17">
        <v>0.11494923474803299</v>
      </c>
      <c r="I18" s="17">
        <v>9.3118910981940098E-2</v>
      </c>
      <c r="J18" s="17">
        <v>6.3064745128314698E-2</v>
      </c>
      <c r="K18" s="17">
        <v>6.0074761228409899E-2</v>
      </c>
      <c r="L18" s="17">
        <v>4.2651639238750198E-2</v>
      </c>
      <c r="M18" s="17"/>
      <c r="N18" s="17">
        <v>2.79056616421814E-2</v>
      </c>
      <c r="O18" s="17">
        <v>3.5144725492582199E-2</v>
      </c>
      <c r="P18" s="17">
        <v>5.8915084898181001E-2</v>
      </c>
      <c r="Q18" s="17">
        <v>3.5166006933078503E-2</v>
      </c>
      <c r="R18" s="17">
        <v>0.13156398419086601</v>
      </c>
      <c r="S18" s="17">
        <v>8.2003821622029696E-2</v>
      </c>
      <c r="T18" s="17">
        <v>7.8715830535953393E-2</v>
      </c>
      <c r="U18" s="17">
        <v>7.4075027416825603E-2</v>
      </c>
      <c r="V18" s="17">
        <v>5.6144731991858002E-2</v>
      </c>
      <c r="W18" s="17"/>
      <c r="X18" s="17">
        <v>9.6819803319259004E-2</v>
      </c>
      <c r="Y18" s="17">
        <v>5.9583715141445399E-2</v>
      </c>
    </row>
    <row r="19" spans="2:25" x14ac:dyDescent="0.35">
      <c r="B19" t="s">
        <v>48</v>
      </c>
      <c r="C19" s="17">
        <v>0.145909689819615</v>
      </c>
      <c r="D19" s="17">
        <v>0.128820200628145</v>
      </c>
      <c r="E19" s="17">
        <v>0.16231986300038301</v>
      </c>
      <c r="F19" s="17"/>
      <c r="G19" s="17">
        <v>7.5991556298282595E-2</v>
      </c>
      <c r="H19" s="17">
        <v>9.8840051044681604E-2</v>
      </c>
      <c r="I19" s="17">
        <v>0.14588969706721799</v>
      </c>
      <c r="J19" s="17">
        <v>0.161221694138519</v>
      </c>
      <c r="K19" s="17">
        <v>0.179183729351582</v>
      </c>
      <c r="L19" s="17">
        <v>0.167441778199721</v>
      </c>
      <c r="M19" s="17"/>
      <c r="N19" s="17">
        <v>0.244406634633869</v>
      </c>
      <c r="O19" s="17">
        <v>0.17383866362014799</v>
      </c>
      <c r="P19" s="17">
        <v>0.22651970423902601</v>
      </c>
      <c r="Q19" s="17">
        <v>0.13964063824047099</v>
      </c>
      <c r="R19" s="17">
        <v>8.8061000303486903E-2</v>
      </c>
      <c r="S19" s="17">
        <v>0.23392055282235799</v>
      </c>
      <c r="T19" s="17">
        <v>4.3223035123556297E-2</v>
      </c>
      <c r="U19" s="17">
        <v>0.109604379557824</v>
      </c>
      <c r="V19" s="17">
        <v>0.16770730957445601</v>
      </c>
      <c r="W19" s="17"/>
      <c r="X19" s="17">
        <v>0.118656082177925</v>
      </c>
      <c r="Y19" s="17">
        <v>0.160990923998555</v>
      </c>
    </row>
    <row r="20" spans="2:25" x14ac:dyDescent="0.35">
      <c r="C20" s="17"/>
      <c r="D20" s="17"/>
      <c r="E20" s="17"/>
      <c r="F20" s="17"/>
      <c r="G20" s="17"/>
      <c r="H20" s="17"/>
      <c r="I20" s="17"/>
      <c r="J20" s="17"/>
      <c r="K20" s="17"/>
      <c r="L20" s="17"/>
      <c r="M20" s="17"/>
      <c r="N20" s="17"/>
      <c r="O20" s="17"/>
      <c r="P20" s="17"/>
      <c r="Q20" s="17"/>
      <c r="R20" s="17"/>
      <c r="S20" s="17"/>
      <c r="T20" s="17"/>
      <c r="U20" s="17"/>
      <c r="V20" s="17"/>
      <c r="W20" s="17"/>
      <c r="X20" s="17"/>
      <c r="Y20" s="17"/>
    </row>
    <row r="21" spans="2:25" x14ac:dyDescent="0.35">
      <c r="B21" s="6" t="s">
        <v>57</v>
      </c>
      <c r="C21" s="17"/>
      <c r="D21" s="17"/>
      <c r="E21" s="17"/>
      <c r="F21" s="17"/>
      <c r="G21" s="17"/>
      <c r="H21" s="17"/>
      <c r="I21" s="17"/>
      <c r="J21" s="17"/>
      <c r="K21" s="17"/>
      <c r="L21" s="17"/>
      <c r="M21" s="17"/>
      <c r="N21" s="17"/>
      <c r="O21" s="17"/>
      <c r="P21" s="17"/>
      <c r="Q21" s="17"/>
      <c r="R21" s="17"/>
      <c r="S21" s="17"/>
      <c r="T21" s="17"/>
      <c r="U21" s="17"/>
      <c r="V21" s="17"/>
      <c r="W21" s="17"/>
      <c r="X21" s="17"/>
      <c r="Y21" s="17"/>
    </row>
    <row r="22" spans="2:25" x14ac:dyDescent="0.35">
      <c r="B22" s="24" t="s">
        <v>50</v>
      </c>
      <c r="C22" s="17"/>
      <c r="D22" s="17"/>
      <c r="E22" s="17"/>
      <c r="F22" s="17"/>
      <c r="G22" s="17"/>
      <c r="H22" s="17"/>
      <c r="I22" s="17"/>
      <c r="J22" s="17"/>
      <c r="K22" s="17"/>
      <c r="L22" s="17"/>
      <c r="M22" s="17"/>
      <c r="N22" s="17"/>
      <c r="O22" s="17"/>
      <c r="P22" s="17"/>
      <c r="Q22" s="17"/>
      <c r="R22" s="17"/>
      <c r="S22" s="17"/>
      <c r="T22" s="17"/>
      <c r="U22" s="17"/>
      <c r="V22" s="17"/>
      <c r="W22" s="17"/>
      <c r="X22" s="17"/>
      <c r="Y22" s="17"/>
    </row>
    <row r="23" spans="2:25" x14ac:dyDescent="0.35">
      <c r="B23" t="s">
        <v>53</v>
      </c>
      <c r="C23" s="17">
        <v>0.62043958350304795</v>
      </c>
      <c r="D23" s="17">
        <v>0.59954546175552403</v>
      </c>
      <c r="E23" s="17">
        <v>0.64065116450078397</v>
      </c>
      <c r="F23" s="17"/>
      <c r="G23" s="17">
        <v>0.58306685897503396</v>
      </c>
      <c r="H23" s="17">
        <v>0.54124074531320399</v>
      </c>
      <c r="I23" s="17">
        <v>0.58200030764694999</v>
      </c>
      <c r="J23" s="17">
        <v>0.61304228608750699</v>
      </c>
      <c r="K23" s="17">
        <v>0.63735307987128098</v>
      </c>
      <c r="L23" s="17">
        <v>0.69981136637055397</v>
      </c>
      <c r="M23" s="17"/>
      <c r="N23" s="17">
        <v>0.60325673956319203</v>
      </c>
      <c r="O23" s="17">
        <v>0.57101629244558005</v>
      </c>
      <c r="P23" s="17">
        <v>0.57094298619456196</v>
      </c>
      <c r="Q23" s="17">
        <v>0.58746386083172497</v>
      </c>
      <c r="R23" s="17">
        <v>0.66045096669687997</v>
      </c>
      <c r="S23" s="17">
        <v>0.53865276095510195</v>
      </c>
      <c r="T23" s="17">
        <v>0.597879574462302</v>
      </c>
      <c r="U23" s="17">
        <v>0.76222609478498504</v>
      </c>
      <c r="V23" s="17">
        <v>0.66501358329591997</v>
      </c>
      <c r="W23" s="17"/>
      <c r="X23" s="17">
        <v>0.61938913838070397</v>
      </c>
      <c r="Y23" s="17">
        <v>0.621020864671048</v>
      </c>
    </row>
    <row r="24" spans="2:25" x14ac:dyDescent="0.35">
      <c r="B24" t="s">
        <v>54</v>
      </c>
      <c r="C24" s="17">
        <v>0.61640024608506205</v>
      </c>
      <c r="D24" s="17">
        <v>0.67552323883230303</v>
      </c>
      <c r="E24" s="17">
        <v>0.56153682005715799</v>
      </c>
      <c r="F24" s="17"/>
      <c r="G24" s="17">
        <v>0.57845164927044801</v>
      </c>
      <c r="H24" s="17">
        <v>0.644569991218227</v>
      </c>
      <c r="I24" s="17">
        <v>0.61802290705579499</v>
      </c>
      <c r="J24" s="17">
        <v>0.615508863145527</v>
      </c>
      <c r="K24" s="17">
        <v>0.617217411823198</v>
      </c>
      <c r="L24" s="17">
        <v>0.61287701682653495</v>
      </c>
      <c r="M24" s="17"/>
      <c r="N24" s="17">
        <v>0.466644125536748</v>
      </c>
      <c r="O24" s="17">
        <v>0.59043274279745805</v>
      </c>
      <c r="P24" s="17">
        <v>0.494331084877497</v>
      </c>
      <c r="Q24" s="17">
        <v>0.58116247901398399</v>
      </c>
      <c r="R24" s="17">
        <v>0.75990562504456705</v>
      </c>
      <c r="S24" s="17">
        <v>0.56663447177522697</v>
      </c>
      <c r="T24" s="17">
        <v>0.660617475165448</v>
      </c>
      <c r="U24" s="17">
        <v>0.66185323937321705</v>
      </c>
      <c r="V24" s="17">
        <v>0.640165955015782</v>
      </c>
      <c r="W24" s="17"/>
      <c r="X24" s="17">
        <v>0.67365187994799902</v>
      </c>
      <c r="Y24" s="17">
        <v>0.58471910835219598</v>
      </c>
    </row>
    <row r="25" spans="2:25" x14ac:dyDescent="0.35">
      <c r="B25" t="s">
        <v>55</v>
      </c>
      <c r="C25" s="17">
        <v>0.53655021789669999</v>
      </c>
      <c r="D25" s="17">
        <v>0.50736170745975695</v>
      </c>
      <c r="E25" s="17">
        <v>0.56355483886064195</v>
      </c>
      <c r="F25" s="17"/>
      <c r="G25" s="17">
        <v>0.64115131408269599</v>
      </c>
      <c r="H25" s="17">
        <v>0.59768820873719197</v>
      </c>
      <c r="I25" s="17">
        <v>0.53936789199746704</v>
      </c>
      <c r="J25" s="17">
        <v>0.53214001161170998</v>
      </c>
      <c r="K25" s="17">
        <v>0.52993149593131295</v>
      </c>
      <c r="L25" s="17">
        <v>0.46699336449573398</v>
      </c>
      <c r="M25" s="17"/>
      <c r="N25" s="17">
        <v>0.49464310516763199</v>
      </c>
      <c r="O25" s="17">
        <v>0.33206158805094099</v>
      </c>
      <c r="P25" s="17">
        <v>0.58128973088839497</v>
      </c>
      <c r="Q25" s="17">
        <v>0.58915557243503103</v>
      </c>
      <c r="R25" s="17">
        <v>0.46708446290691902</v>
      </c>
      <c r="S25" s="17">
        <v>0.51535073474359705</v>
      </c>
      <c r="T25" s="17">
        <v>0.59816967305875801</v>
      </c>
      <c r="U25" s="17">
        <v>0.53114884762680303</v>
      </c>
      <c r="V25" s="17">
        <v>0.50371161269004205</v>
      </c>
      <c r="W25" s="17"/>
      <c r="X25" s="17">
        <v>0.52411390810444303</v>
      </c>
      <c r="Y25" s="17">
        <v>0.543432055441465</v>
      </c>
    </row>
    <row r="26" spans="2:25" x14ac:dyDescent="0.35">
      <c r="B26" t="s">
        <v>56</v>
      </c>
      <c r="C26" s="17">
        <v>0.20476362693658701</v>
      </c>
      <c r="D26" s="17">
        <v>0.27583827973012598</v>
      </c>
      <c r="E26" s="17">
        <v>0.13815930562981199</v>
      </c>
      <c r="F26" s="17"/>
      <c r="G26" s="17">
        <v>0.30195517868055</v>
      </c>
      <c r="H26" s="17">
        <v>0.27530296146509697</v>
      </c>
      <c r="I26" s="17">
        <v>0.245914408244404</v>
      </c>
      <c r="J26" s="17">
        <v>0.186574005130793</v>
      </c>
      <c r="K26" s="17">
        <v>0.163421096601882</v>
      </c>
      <c r="L26" s="17">
        <v>0.14008191609068599</v>
      </c>
      <c r="M26" s="17"/>
      <c r="N26" s="17">
        <v>0.20929174558399399</v>
      </c>
      <c r="O26" s="17">
        <v>0.225992832657015</v>
      </c>
      <c r="P26" s="17">
        <v>0.16288073237512601</v>
      </c>
      <c r="Q26" s="17">
        <v>0.19797074765967501</v>
      </c>
      <c r="R26" s="17">
        <v>0.15445738265775499</v>
      </c>
      <c r="S26" s="17">
        <v>0.16431936384839599</v>
      </c>
      <c r="T26" s="17">
        <v>0.32065847515699503</v>
      </c>
      <c r="U26" s="17">
        <v>0.230022680228021</v>
      </c>
      <c r="V26" s="17">
        <v>0.18683810533958101</v>
      </c>
      <c r="W26" s="17"/>
      <c r="X26" s="17">
        <v>0.26915736296964599</v>
      </c>
      <c r="Y26" s="17">
        <v>0.169130288938212</v>
      </c>
    </row>
    <row r="27" spans="2:25" x14ac:dyDescent="0.35">
      <c r="B27" t="s">
        <v>48</v>
      </c>
      <c r="C27" s="17">
        <v>6.2174174755032299E-2</v>
      </c>
      <c r="D27" s="17">
        <v>5.4159816652039901E-2</v>
      </c>
      <c r="E27" s="17">
        <v>6.9653269008365007E-2</v>
      </c>
      <c r="F27" s="17"/>
      <c r="G27" s="17">
        <v>3.3649283790729297E-2</v>
      </c>
      <c r="H27" s="17">
        <v>5.7871909685090303E-2</v>
      </c>
      <c r="I27" s="17">
        <v>6.9996088922116506E-2</v>
      </c>
      <c r="J27" s="17">
        <v>7.8109538123380007E-2</v>
      </c>
      <c r="K27" s="17">
        <v>6.6466145663490794E-2</v>
      </c>
      <c r="L27" s="17">
        <v>5.6604635470032298E-2</v>
      </c>
      <c r="M27" s="17"/>
      <c r="N27" s="17">
        <v>0.110058970345636</v>
      </c>
      <c r="O27" s="17">
        <v>9.3183454142362607E-2</v>
      </c>
      <c r="P27" s="17">
        <v>8.7715232650838595E-2</v>
      </c>
      <c r="Q27" s="17">
        <v>7.1432690574348895E-2</v>
      </c>
      <c r="R27" s="17">
        <v>2.9948683335208299E-2</v>
      </c>
      <c r="S27" s="17">
        <v>9.6792668814082994E-2</v>
      </c>
      <c r="T27" s="17">
        <v>3.6784772381264097E-2</v>
      </c>
      <c r="U27" s="17">
        <v>3.7669511500654299E-2</v>
      </c>
      <c r="V27" s="17">
        <v>5.4108925016862902E-2</v>
      </c>
      <c r="W27" s="17"/>
      <c r="X27" s="17">
        <v>3.9983389382888701E-2</v>
      </c>
      <c r="Y27" s="17">
        <v>7.4453812563421401E-2</v>
      </c>
    </row>
    <row r="28" spans="2:25" x14ac:dyDescent="0.35">
      <c r="C28" s="17"/>
      <c r="D28" s="17"/>
      <c r="E28" s="17"/>
      <c r="F28" s="17"/>
      <c r="G28" s="17"/>
      <c r="H28" s="17"/>
      <c r="I28" s="17"/>
      <c r="J28" s="17"/>
      <c r="K28" s="17"/>
      <c r="L28" s="17"/>
      <c r="M28" s="17"/>
      <c r="N28" s="17"/>
      <c r="O28" s="17"/>
      <c r="P28" s="17"/>
      <c r="Q28" s="17"/>
      <c r="R28" s="17"/>
      <c r="S28" s="17"/>
      <c r="T28" s="17"/>
      <c r="U28" s="17"/>
      <c r="V28" s="17"/>
      <c r="W28" s="17"/>
      <c r="X28" s="17"/>
      <c r="Y28" s="17"/>
    </row>
    <row r="29" spans="2:25" x14ac:dyDescent="0.35">
      <c r="B29" s="6" t="s">
        <v>70</v>
      </c>
      <c r="C29" s="17"/>
      <c r="D29" s="17"/>
      <c r="E29" s="17"/>
      <c r="F29" s="17"/>
      <c r="G29" s="17"/>
      <c r="H29" s="17"/>
      <c r="I29" s="17"/>
      <c r="J29" s="17"/>
      <c r="K29" s="17"/>
      <c r="L29" s="17"/>
      <c r="M29" s="17"/>
      <c r="N29" s="17"/>
      <c r="O29" s="17"/>
      <c r="P29" s="17"/>
      <c r="Q29" s="17"/>
      <c r="R29" s="17"/>
      <c r="S29" s="17"/>
      <c r="T29" s="17"/>
      <c r="U29" s="17"/>
      <c r="V29" s="17"/>
      <c r="W29" s="17"/>
      <c r="X29" s="17"/>
      <c r="Y29" s="17"/>
    </row>
    <row r="30" spans="2:25" x14ac:dyDescent="0.35">
      <c r="B30" s="24" t="s">
        <v>50</v>
      </c>
      <c r="C30" s="17"/>
      <c r="D30" s="17"/>
      <c r="E30" s="17"/>
      <c r="F30" s="17"/>
      <c r="G30" s="17"/>
      <c r="H30" s="17"/>
      <c r="I30" s="17"/>
      <c r="J30" s="17"/>
      <c r="K30" s="17"/>
      <c r="L30" s="17"/>
      <c r="M30" s="17"/>
      <c r="N30" s="17"/>
      <c r="O30" s="17"/>
      <c r="P30" s="17"/>
      <c r="Q30" s="17"/>
      <c r="R30" s="17"/>
      <c r="S30" s="17"/>
      <c r="T30" s="17"/>
      <c r="U30" s="17"/>
      <c r="V30" s="17"/>
      <c r="W30" s="17"/>
      <c r="X30" s="17"/>
      <c r="Y30" s="17"/>
    </row>
    <row r="31" spans="2:25" x14ac:dyDescent="0.35">
      <c r="B31" t="s">
        <v>58</v>
      </c>
      <c r="C31" s="17">
        <v>0.53886947200436497</v>
      </c>
      <c r="D31" s="17">
        <v>0.49233763690774601</v>
      </c>
      <c r="E31" s="17">
        <v>0.58259874220987995</v>
      </c>
      <c r="F31" s="17"/>
      <c r="G31" s="17">
        <v>0.51029321107373005</v>
      </c>
      <c r="H31" s="17">
        <v>0.47346964493043198</v>
      </c>
      <c r="I31" s="17">
        <v>0.51738518648040299</v>
      </c>
      <c r="J31" s="17">
        <v>0.50875988276153306</v>
      </c>
      <c r="K31" s="17">
        <v>0.54606864860586601</v>
      </c>
      <c r="L31" s="17">
        <v>0.61783762288587896</v>
      </c>
      <c r="M31" s="17"/>
      <c r="N31" s="17">
        <v>0.60639672483484497</v>
      </c>
      <c r="O31" s="17">
        <v>0.59356381725827301</v>
      </c>
      <c r="P31" s="17">
        <v>0.61537303213646599</v>
      </c>
      <c r="Q31" s="17">
        <v>0.48246384129338599</v>
      </c>
      <c r="R31" s="17">
        <v>0.60885132447202095</v>
      </c>
      <c r="S31" s="17">
        <v>0.50899630960050102</v>
      </c>
      <c r="T31" s="17">
        <v>0.49830758358732602</v>
      </c>
      <c r="U31" s="17">
        <v>0.533678416888269</v>
      </c>
      <c r="V31" s="17">
        <v>0.44155539686683298</v>
      </c>
      <c r="W31" s="17"/>
      <c r="X31" s="17">
        <v>0.52017083852228596</v>
      </c>
      <c r="Y31" s="17">
        <v>0.54921666985343098</v>
      </c>
    </row>
    <row r="32" spans="2:25" x14ac:dyDescent="0.35">
      <c r="B32" t="s">
        <v>59</v>
      </c>
      <c r="C32" s="17">
        <v>0.45304952371025498</v>
      </c>
      <c r="D32" s="17">
        <v>0.51663065050128298</v>
      </c>
      <c r="E32" s="17">
        <v>0.393352986147946</v>
      </c>
      <c r="F32" s="17"/>
      <c r="G32" s="17">
        <v>0.50108750587120299</v>
      </c>
      <c r="H32" s="17">
        <v>0.50810616515397999</v>
      </c>
      <c r="I32" s="17">
        <v>0.44916855100696901</v>
      </c>
      <c r="J32" s="17">
        <v>0.45338526357877001</v>
      </c>
      <c r="K32" s="17">
        <v>0.433183864961877</v>
      </c>
      <c r="L32" s="17">
        <v>0.41791563476096999</v>
      </c>
      <c r="M32" s="17"/>
      <c r="N32" s="17">
        <v>0.42845891275124598</v>
      </c>
      <c r="O32" s="17">
        <v>0.42249805326918399</v>
      </c>
      <c r="P32" s="17">
        <v>0.31939246528772702</v>
      </c>
      <c r="Q32" s="17">
        <v>0.558639156278669</v>
      </c>
      <c r="R32" s="17">
        <v>0.50315079929539896</v>
      </c>
      <c r="S32" s="17">
        <v>0.42586222760251802</v>
      </c>
      <c r="T32" s="17">
        <v>0.48950933836810401</v>
      </c>
      <c r="U32" s="17">
        <v>0.473109273357259</v>
      </c>
      <c r="V32" s="17">
        <v>0.35361712592067501</v>
      </c>
      <c r="W32" s="17"/>
      <c r="X32" s="17">
        <v>0.53254375161344403</v>
      </c>
      <c r="Y32" s="17">
        <v>0.40906007898631702</v>
      </c>
    </row>
    <row r="33" spans="2:25" x14ac:dyDescent="0.35">
      <c r="B33" t="s">
        <v>60</v>
      </c>
      <c r="C33" s="17">
        <v>0.387140207165665</v>
      </c>
      <c r="D33" s="17">
        <v>0.363318454805584</v>
      </c>
      <c r="E33" s="17">
        <v>0.41018655245755198</v>
      </c>
      <c r="F33" s="17"/>
      <c r="G33" s="17">
        <v>0.28457914742412299</v>
      </c>
      <c r="H33" s="17">
        <v>0.33117259922299802</v>
      </c>
      <c r="I33" s="17">
        <v>0.35138136309672802</v>
      </c>
      <c r="J33" s="17">
        <v>0.372564988042834</v>
      </c>
      <c r="K33" s="17">
        <v>0.41889450862041</v>
      </c>
      <c r="L33" s="17">
        <v>0.47043622534740898</v>
      </c>
      <c r="M33" s="17"/>
      <c r="N33" s="17">
        <v>0.34273928270693199</v>
      </c>
      <c r="O33" s="17">
        <v>0.47759030603964803</v>
      </c>
      <c r="P33" s="17">
        <v>0.42348923583672698</v>
      </c>
      <c r="Q33" s="17">
        <v>0.36117383638085998</v>
      </c>
      <c r="R33" s="17">
        <v>0.457664317051307</v>
      </c>
      <c r="S33" s="17">
        <v>0.331142927116858</v>
      </c>
      <c r="T33" s="17">
        <v>0.292035205576471</v>
      </c>
      <c r="U33" s="17">
        <v>0.42452141800904403</v>
      </c>
      <c r="V33" s="17">
        <v>0.44701632136908198</v>
      </c>
      <c r="W33" s="17"/>
      <c r="X33" s="17">
        <v>0.34422024706231402</v>
      </c>
      <c r="Y33" s="17">
        <v>0.410890676379849</v>
      </c>
    </row>
    <row r="34" spans="2:25" x14ac:dyDescent="0.35">
      <c r="B34" t="s">
        <v>61</v>
      </c>
      <c r="C34" s="17">
        <v>0.24724338121136</v>
      </c>
      <c r="D34" s="17">
        <v>0.26745516562038602</v>
      </c>
      <c r="E34" s="17">
        <v>0.228662965056951</v>
      </c>
      <c r="F34" s="17"/>
      <c r="G34" s="17">
        <v>0.15591974814975201</v>
      </c>
      <c r="H34" s="17">
        <v>0.20232711771258099</v>
      </c>
      <c r="I34" s="17">
        <v>0.25024124370385897</v>
      </c>
      <c r="J34" s="17">
        <v>0.24760417946341001</v>
      </c>
      <c r="K34" s="17">
        <v>0.27057078292006798</v>
      </c>
      <c r="L34" s="17">
        <v>0.29029484051128701</v>
      </c>
      <c r="M34" s="17"/>
      <c r="N34" s="17">
        <v>0.357669372780965</v>
      </c>
      <c r="O34" s="17">
        <v>0.18724486122322601</v>
      </c>
      <c r="P34" s="17">
        <v>0.214965881710318</v>
      </c>
      <c r="Q34" s="17">
        <v>0.15268349921618199</v>
      </c>
      <c r="R34" s="17">
        <v>0.271980129085996</v>
      </c>
      <c r="S34" s="17">
        <v>0.16963966012109599</v>
      </c>
      <c r="T34" s="17">
        <v>0.408177253255814</v>
      </c>
      <c r="U34" s="17">
        <v>0.21381801267817199</v>
      </c>
      <c r="V34" s="17">
        <v>0.34829660005887603</v>
      </c>
      <c r="W34" s="17"/>
      <c r="X34" s="17">
        <v>0.235905729764779</v>
      </c>
      <c r="Y34" s="17">
        <v>0.25351725800422698</v>
      </c>
    </row>
    <row r="35" spans="2:25" x14ac:dyDescent="0.35">
      <c r="B35" t="s">
        <v>62</v>
      </c>
      <c r="C35" s="17">
        <v>0.232243820198034</v>
      </c>
      <c r="D35" s="17">
        <v>0.241478438136247</v>
      </c>
      <c r="E35" s="17">
        <v>0.22361262323150299</v>
      </c>
      <c r="F35" s="17"/>
      <c r="G35" s="17">
        <v>0.19295195907246901</v>
      </c>
      <c r="H35" s="17">
        <v>0.20696838765263301</v>
      </c>
      <c r="I35" s="17">
        <v>0.22033821342131801</v>
      </c>
      <c r="J35" s="17">
        <v>0.22186262687848901</v>
      </c>
      <c r="K35" s="17">
        <v>0.233016523721395</v>
      </c>
      <c r="L35" s="17">
        <v>0.27605108789328903</v>
      </c>
      <c r="M35" s="17"/>
      <c r="N35" s="17">
        <v>0.18875657394683701</v>
      </c>
      <c r="O35" s="17">
        <v>0.15715426478454</v>
      </c>
      <c r="P35" s="17">
        <v>0.156686586511145</v>
      </c>
      <c r="Q35" s="17">
        <v>0.18371315043859901</v>
      </c>
      <c r="R35" s="17">
        <v>0.168989274880949</v>
      </c>
      <c r="S35" s="17">
        <v>0.37542164216985502</v>
      </c>
      <c r="T35" s="17">
        <v>0.33197824777932999</v>
      </c>
      <c r="U35" s="17">
        <v>0.18603798852219899</v>
      </c>
      <c r="V35" s="17">
        <v>0.266736139116872</v>
      </c>
      <c r="W35" s="17"/>
      <c r="X35" s="17">
        <v>0.225884126550668</v>
      </c>
      <c r="Y35" s="17">
        <v>0.235763061777469</v>
      </c>
    </row>
    <row r="36" spans="2:25" x14ac:dyDescent="0.35">
      <c r="B36" t="s">
        <v>63</v>
      </c>
      <c r="C36" s="17">
        <v>0.19263867056748599</v>
      </c>
      <c r="D36" s="17">
        <v>0.21102619125764299</v>
      </c>
      <c r="E36" s="17">
        <v>0.17555981396298001</v>
      </c>
      <c r="F36" s="17"/>
      <c r="G36" s="17">
        <v>0.18559243267907999</v>
      </c>
      <c r="H36" s="17">
        <v>0.19427281715375</v>
      </c>
      <c r="I36" s="17">
        <v>0.202007998863066</v>
      </c>
      <c r="J36" s="17">
        <v>0.19636906467794801</v>
      </c>
      <c r="K36" s="17">
        <v>0.18688557732214001</v>
      </c>
      <c r="L36" s="17">
        <v>0.189521170501603</v>
      </c>
      <c r="M36" s="17"/>
      <c r="N36" s="17">
        <v>8.1015070623802296E-2</v>
      </c>
      <c r="O36" s="17">
        <v>0.40644677270729701</v>
      </c>
      <c r="P36" s="17">
        <v>0.106524311224375</v>
      </c>
      <c r="Q36" s="17">
        <v>0.20942705308885301</v>
      </c>
      <c r="R36" s="17">
        <v>0.23467233549553099</v>
      </c>
      <c r="S36" s="17">
        <v>0.106270552111235</v>
      </c>
      <c r="T36" s="17">
        <v>0.17623916218126201</v>
      </c>
      <c r="U36" s="17">
        <v>0.31480837768410003</v>
      </c>
      <c r="V36" s="17">
        <v>0.163285168962786</v>
      </c>
      <c r="W36" s="17"/>
      <c r="X36" s="17">
        <v>0.22687358937153099</v>
      </c>
      <c r="Y36" s="17">
        <v>0.17369421248440201</v>
      </c>
    </row>
    <row r="37" spans="2:25" x14ac:dyDescent="0.35">
      <c r="B37" t="s">
        <v>64</v>
      </c>
      <c r="C37" s="17">
        <v>0.134508436916848</v>
      </c>
      <c r="D37" s="17">
        <v>0.13800475835347401</v>
      </c>
      <c r="E37" s="17">
        <v>0.13175522134804901</v>
      </c>
      <c r="F37" s="17"/>
      <c r="G37" s="17">
        <v>0.208079571380682</v>
      </c>
      <c r="H37" s="17">
        <v>0.181186328245904</v>
      </c>
      <c r="I37" s="17">
        <v>0.14873545003251801</v>
      </c>
      <c r="J37" s="17">
        <v>0.109143615659789</v>
      </c>
      <c r="K37" s="17">
        <v>0.10772185880449001</v>
      </c>
      <c r="L37" s="17">
        <v>0.105335082267042</v>
      </c>
      <c r="M37" s="17"/>
      <c r="N37" s="17">
        <v>0.120234664353915</v>
      </c>
      <c r="O37" s="17">
        <v>6.5522330675627793E-2</v>
      </c>
      <c r="P37" s="17">
        <v>0.10735726947409401</v>
      </c>
      <c r="Q37" s="17">
        <v>9.04294942655577E-2</v>
      </c>
      <c r="R37" s="17">
        <v>0.14035931376840199</v>
      </c>
      <c r="S37" s="17">
        <v>0.17589413624731201</v>
      </c>
      <c r="T37" s="17">
        <v>0.14656920855338501</v>
      </c>
      <c r="U37" s="17">
        <v>0.144838824320799</v>
      </c>
      <c r="V37" s="17">
        <v>0.17896880260258799</v>
      </c>
      <c r="W37" s="17"/>
      <c r="X37" s="17">
        <v>0.160083160020803</v>
      </c>
      <c r="Y37" s="17">
        <v>0.120356241241943</v>
      </c>
    </row>
    <row r="38" spans="2:25" x14ac:dyDescent="0.35">
      <c r="B38" t="s">
        <v>65</v>
      </c>
      <c r="C38" s="17">
        <v>0.127969655624215</v>
      </c>
      <c r="D38" s="17">
        <v>0.107332862611888</v>
      </c>
      <c r="E38" s="17">
        <v>0.14765287963760701</v>
      </c>
      <c r="F38" s="17"/>
      <c r="G38" s="17">
        <v>0.13088542097518399</v>
      </c>
      <c r="H38" s="17">
        <v>0.14737799844750901</v>
      </c>
      <c r="I38" s="17">
        <v>0.12550706146247001</v>
      </c>
      <c r="J38" s="17">
        <v>0.133415253666615</v>
      </c>
      <c r="K38" s="17">
        <v>0.10276222181</v>
      </c>
      <c r="L38" s="17">
        <v>0.129845531439059</v>
      </c>
      <c r="M38" s="17"/>
      <c r="N38" s="17">
        <v>0.19338538334667901</v>
      </c>
      <c r="O38" s="17">
        <v>0.198693392830667</v>
      </c>
      <c r="P38" s="17">
        <v>0.146510741928461</v>
      </c>
      <c r="Q38" s="17">
        <v>0.14807140351578299</v>
      </c>
      <c r="R38" s="17">
        <v>0.119717233139637</v>
      </c>
      <c r="S38" s="17">
        <v>0.141213772414823</v>
      </c>
      <c r="T38" s="17">
        <v>0.138267246526521</v>
      </c>
      <c r="U38" s="17">
        <v>5.4555066986356697E-2</v>
      </c>
      <c r="V38" s="17">
        <v>0.10846306258170101</v>
      </c>
      <c r="W38" s="17"/>
      <c r="X38" s="17">
        <v>0.104877328399213</v>
      </c>
      <c r="Y38" s="17">
        <v>0.14074817651567401</v>
      </c>
    </row>
    <row r="39" spans="2:25" x14ac:dyDescent="0.35">
      <c r="B39" t="s">
        <v>66</v>
      </c>
      <c r="C39" s="17">
        <v>9.2230368534292298E-2</v>
      </c>
      <c r="D39" s="17">
        <v>0.116418681698871</v>
      </c>
      <c r="E39" s="17">
        <v>6.9490251083804605E-2</v>
      </c>
      <c r="F39" s="17"/>
      <c r="G39" s="17">
        <v>0.14961397185891101</v>
      </c>
      <c r="H39" s="17">
        <v>0.12149214329018999</v>
      </c>
      <c r="I39" s="17">
        <v>9.0172071135311893E-2</v>
      </c>
      <c r="J39" s="17">
        <v>9.6864614948981798E-2</v>
      </c>
      <c r="K39" s="17">
        <v>6.5273770374329895E-2</v>
      </c>
      <c r="L39" s="17">
        <v>6.9449565387417506E-2</v>
      </c>
      <c r="M39" s="17"/>
      <c r="N39" s="17">
        <v>4.2832091503093098E-2</v>
      </c>
      <c r="O39" s="17">
        <v>8.4205134091524005E-3</v>
      </c>
      <c r="P39" s="17">
        <v>0.111707090861319</v>
      </c>
      <c r="Q39" s="17">
        <v>0.18899848204817801</v>
      </c>
      <c r="R39" s="17">
        <v>7.0508797035178206E-2</v>
      </c>
      <c r="S39" s="17">
        <v>2.8245798792044301E-2</v>
      </c>
      <c r="T39" s="17">
        <v>6.7428397965140399E-2</v>
      </c>
      <c r="U39" s="17">
        <v>0.106283491163115</v>
      </c>
      <c r="V39" s="17">
        <v>0.111314927085171</v>
      </c>
      <c r="W39" s="17"/>
      <c r="X39" s="17">
        <v>9.47284749855523E-2</v>
      </c>
      <c r="Y39" s="17">
        <v>9.0848000046028707E-2</v>
      </c>
    </row>
    <row r="40" spans="2:25" x14ac:dyDescent="0.35">
      <c r="B40" t="s">
        <v>67</v>
      </c>
      <c r="C40" s="17">
        <v>7.3338320460522605E-2</v>
      </c>
      <c r="D40" s="17">
        <v>7.2761469133461501E-2</v>
      </c>
      <c r="E40" s="17">
        <v>7.3526966647449801E-2</v>
      </c>
      <c r="F40" s="17"/>
      <c r="G40" s="17">
        <v>0.226953818050835</v>
      </c>
      <c r="H40" s="17">
        <v>0.11808032533776799</v>
      </c>
      <c r="I40" s="17">
        <v>7.10208348270919E-2</v>
      </c>
      <c r="J40" s="17">
        <v>5.2214501872665901E-2</v>
      </c>
      <c r="K40" s="17">
        <v>3.6618254938746E-2</v>
      </c>
      <c r="L40" s="17">
        <v>2.97755760702746E-2</v>
      </c>
      <c r="M40" s="17"/>
      <c r="N40" s="17">
        <v>3.6989000796508402E-2</v>
      </c>
      <c r="O40" s="17">
        <v>3.6733270849026001E-2</v>
      </c>
      <c r="P40" s="17">
        <v>4.09215852500752E-2</v>
      </c>
      <c r="Q40" s="17">
        <v>7.8452745399883006E-2</v>
      </c>
      <c r="R40" s="17">
        <v>8.1600108736601895E-2</v>
      </c>
      <c r="S40" s="17">
        <v>5.91719188156778E-2</v>
      </c>
      <c r="T40" s="17">
        <v>6.4336982557017502E-2</v>
      </c>
      <c r="U40" s="17">
        <v>0.123756820076976</v>
      </c>
      <c r="V40" s="17">
        <v>8.93612676126459E-2</v>
      </c>
      <c r="W40" s="17"/>
      <c r="X40" s="17">
        <v>7.5296177630517505E-2</v>
      </c>
      <c r="Y40" s="17">
        <v>7.2254907840152899E-2</v>
      </c>
    </row>
    <row r="41" spans="2:25" x14ac:dyDescent="0.35">
      <c r="B41" t="s">
        <v>68</v>
      </c>
      <c r="C41" s="17">
        <v>2.41177220583275E-2</v>
      </c>
      <c r="D41" s="17">
        <v>2.7620974028140399E-2</v>
      </c>
      <c r="E41" s="17">
        <v>2.0916263484909599E-2</v>
      </c>
      <c r="F41" s="17"/>
      <c r="G41" s="17">
        <v>1.8954837131343799E-2</v>
      </c>
      <c r="H41" s="17">
        <v>1.5128948915581201E-2</v>
      </c>
      <c r="I41" s="17">
        <v>2.13995677271346E-2</v>
      </c>
      <c r="J41" s="17">
        <v>3.4912611454815098E-2</v>
      </c>
      <c r="K41" s="17">
        <v>3.3368562377441E-2</v>
      </c>
      <c r="L41" s="17">
        <v>1.9638099860786299E-2</v>
      </c>
      <c r="M41" s="17"/>
      <c r="N41" s="17">
        <v>2.9786135522037599E-2</v>
      </c>
      <c r="O41" s="17">
        <v>3.2272957389158398E-3</v>
      </c>
      <c r="P41" s="17">
        <v>2.5221561045382E-2</v>
      </c>
      <c r="Q41" s="17">
        <v>1.76867654097599E-2</v>
      </c>
      <c r="R41" s="17">
        <v>3.7214866985937199E-2</v>
      </c>
      <c r="S41" s="17">
        <v>2.6837466021804899E-2</v>
      </c>
      <c r="T41" s="17">
        <v>1.1698952005560899E-2</v>
      </c>
      <c r="U41" s="17">
        <v>3.0868793108208899E-2</v>
      </c>
      <c r="V41" s="17">
        <v>1.9508644128065401E-2</v>
      </c>
      <c r="W41" s="17"/>
      <c r="X41" s="17">
        <v>3.1834927241522898E-2</v>
      </c>
      <c r="Y41" s="17">
        <v>1.9847279036440499E-2</v>
      </c>
    </row>
    <row r="42" spans="2:25" x14ac:dyDescent="0.35">
      <c r="B42" t="s">
        <v>69</v>
      </c>
      <c r="C42" s="17">
        <v>5.9469442513791701E-2</v>
      </c>
      <c r="D42" s="17">
        <v>4.2889787028656E-2</v>
      </c>
      <c r="E42" s="17">
        <v>7.5039593007667299E-2</v>
      </c>
      <c r="F42" s="17"/>
      <c r="G42" s="17">
        <v>4.62462600250855E-2</v>
      </c>
      <c r="H42" s="17">
        <v>5.2212256134650803E-2</v>
      </c>
      <c r="I42" s="17">
        <v>6.16922384466118E-2</v>
      </c>
      <c r="J42" s="17">
        <v>7.2637041264651397E-2</v>
      </c>
      <c r="K42" s="17">
        <v>7.9113373545704205E-2</v>
      </c>
      <c r="L42" s="17">
        <v>4.5332651853224E-2</v>
      </c>
      <c r="M42" s="17"/>
      <c r="N42" s="17">
        <v>6.4325568729521998E-2</v>
      </c>
      <c r="O42" s="17">
        <v>5.9678293704355401E-2</v>
      </c>
      <c r="P42" s="17">
        <v>7.3581912639152994E-2</v>
      </c>
      <c r="Q42" s="17">
        <v>7.2712859740286406E-2</v>
      </c>
      <c r="R42" s="17">
        <v>3.4264403307014697E-2</v>
      </c>
      <c r="S42" s="17">
        <v>8.7130394720634496E-2</v>
      </c>
      <c r="T42" s="17">
        <v>3.8550557826643302E-2</v>
      </c>
      <c r="U42" s="17">
        <v>4.90031256481471E-2</v>
      </c>
      <c r="V42" s="17">
        <v>6.1017501129605099E-2</v>
      </c>
      <c r="W42" s="17"/>
      <c r="X42" s="17">
        <v>3.8109424757287298E-2</v>
      </c>
      <c r="Y42" s="17">
        <v>7.1289361332883897E-2</v>
      </c>
    </row>
    <row r="43" spans="2:25" x14ac:dyDescent="0.35">
      <c r="C43" s="17"/>
      <c r="D43" s="17"/>
      <c r="E43" s="17"/>
      <c r="F43" s="17"/>
      <c r="G43" s="17"/>
      <c r="H43" s="17"/>
      <c r="I43" s="17"/>
      <c r="J43" s="17"/>
      <c r="K43" s="17"/>
      <c r="L43" s="17"/>
      <c r="M43" s="17"/>
      <c r="N43" s="17"/>
      <c r="O43" s="17"/>
      <c r="P43" s="17"/>
      <c r="Q43" s="17"/>
      <c r="R43" s="17"/>
      <c r="S43" s="17"/>
      <c r="T43" s="17"/>
      <c r="U43" s="17"/>
      <c r="V43" s="17"/>
      <c r="W43" s="17"/>
      <c r="X43" s="17"/>
      <c r="Y43" s="17"/>
    </row>
    <row r="44" spans="2:25" x14ac:dyDescent="0.35">
      <c r="B44" s="6" t="s">
        <v>71</v>
      </c>
      <c r="C44" s="17"/>
      <c r="D44" s="17"/>
      <c r="E44" s="17"/>
      <c r="F44" s="17"/>
      <c r="G44" s="17"/>
      <c r="H44" s="17"/>
      <c r="I44" s="17"/>
      <c r="J44" s="17"/>
      <c r="K44" s="17"/>
      <c r="L44" s="17"/>
      <c r="M44" s="17"/>
      <c r="N44" s="17"/>
      <c r="O44" s="17"/>
      <c r="P44" s="17"/>
      <c r="Q44" s="17"/>
      <c r="R44" s="17"/>
      <c r="S44" s="17"/>
      <c r="T44" s="17"/>
      <c r="U44" s="17"/>
      <c r="V44" s="17"/>
      <c r="W44" s="17"/>
      <c r="X44" s="17"/>
      <c r="Y44" s="17"/>
    </row>
    <row r="45" spans="2:25" x14ac:dyDescent="0.35">
      <c r="B45" s="24" t="s">
        <v>50</v>
      </c>
      <c r="C45" s="17"/>
      <c r="D45" s="17"/>
      <c r="E45" s="17"/>
      <c r="F45" s="17"/>
      <c r="G45" s="17"/>
      <c r="H45" s="17"/>
      <c r="I45" s="17"/>
      <c r="J45" s="17"/>
      <c r="K45" s="17"/>
      <c r="L45" s="17"/>
      <c r="M45" s="17"/>
      <c r="N45" s="17"/>
      <c r="O45" s="17"/>
      <c r="P45" s="17"/>
      <c r="Q45" s="17"/>
      <c r="R45" s="17"/>
      <c r="S45" s="17"/>
      <c r="T45" s="17"/>
      <c r="U45" s="17"/>
      <c r="V45" s="17"/>
      <c r="W45" s="17"/>
      <c r="X45" s="17"/>
      <c r="Y45" s="17"/>
    </row>
    <row r="46" spans="2:25" x14ac:dyDescent="0.35">
      <c r="B46" t="s">
        <v>59</v>
      </c>
      <c r="C46" s="17">
        <v>0.50275717862777902</v>
      </c>
      <c r="D46" s="17">
        <v>0.53716129960639503</v>
      </c>
      <c r="E46" s="17">
        <v>0.470396533662165</v>
      </c>
      <c r="F46" s="17"/>
      <c r="G46" s="17">
        <v>0.51138573954387401</v>
      </c>
      <c r="H46" s="17">
        <v>0.51202804253032896</v>
      </c>
      <c r="I46" s="17">
        <v>0.51278323524181002</v>
      </c>
      <c r="J46" s="17">
        <v>0.50825157037570201</v>
      </c>
      <c r="K46" s="17">
        <v>0.48866279289907699</v>
      </c>
      <c r="L46" s="17">
        <v>0.49314924581111902</v>
      </c>
      <c r="M46" s="17"/>
      <c r="N46" s="17">
        <v>0.46429518992274399</v>
      </c>
      <c r="O46" s="17">
        <v>0.62195172561169698</v>
      </c>
      <c r="P46" s="17">
        <v>0.53558824126594495</v>
      </c>
      <c r="Q46" s="17">
        <v>0.39496086794347002</v>
      </c>
      <c r="R46" s="17">
        <v>0.51841808613384899</v>
      </c>
      <c r="S46" s="17">
        <v>0.47189817260394401</v>
      </c>
      <c r="T46" s="17">
        <v>0.45384229188710901</v>
      </c>
      <c r="U46" s="17">
        <v>0.63740909585848404</v>
      </c>
      <c r="V46" s="17">
        <v>0.47311588111767</v>
      </c>
      <c r="W46" s="17"/>
      <c r="X46" s="17">
        <v>0.56318841868383296</v>
      </c>
      <c r="Y46" s="17">
        <v>0.46931655326209398</v>
      </c>
    </row>
    <row r="47" spans="2:25" x14ac:dyDescent="0.35">
      <c r="B47" t="s">
        <v>63</v>
      </c>
      <c r="C47" s="17">
        <v>0.35850548584222097</v>
      </c>
      <c r="D47" s="17">
        <v>0.38615685558666302</v>
      </c>
      <c r="E47" s="17">
        <v>0.332877041141182</v>
      </c>
      <c r="F47" s="17"/>
      <c r="G47" s="17">
        <v>0.29820388390008601</v>
      </c>
      <c r="H47" s="17">
        <v>0.30461275884799099</v>
      </c>
      <c r="I47" s="17">
        <v>0.35645475360079798</v>
      </c>
      <c r="J47" s="17">
        <v>0.38356651315867402</v>
      </c>
      <c r="K47" s="17">
        <v>0.37430831537156001</v>
      </c>
      <c r="L47" s="17">
        <v>0.38663850744466199</v>
      </c>
      <c r="M47" s="17"/>
      <c r="N47" s="17">
        <v>0.208606441584653</v>
      </c>
      <c r="O47" s="17">
        <v>0.46435107278955001</v>
      </c>
      <c r="P47" s="17">
        <v>0.308968490830688</v>
      </c>
      <c r="Q47" s="17">
        <v>0.252977256548167</v>
      </c>
      <c r="R47" s="17">
        <v>0.46946164882478603</v>
      </c>
      <c r="S47" s="17">
        <v>0.30678417946269798</v>
      </c>
      <c r="T47" s="17">
        <v>0.32487257935346903</v>
      </c>
      <c r="U47" s="17">
        <v>0.54463769738379397</v>
      </c>
      <c r="V47" s="17">
        <v>0.24049411695419101</v>
      </c>
      <c r="W47" s="17"/>
      <c r="X47" s="17">
        <v>0.38769849919294502</v>
      </c>
      <c r="Y47" s="17">
        <v>0.34235104946376099</v>
      </c>
    </row>
    <row r="48" spans="2:25" x14ac:dyDescent="0.35">
      <c r="B48" t="s">
        <v>66</v>
      </c>
      <c r="C48" s="17">
        <v>0.21939895595414299</v>
      </c>
      <c r="D48" s="17">
        <v>0.22437513382924401</v>
      </c>
      <c r="E48" s="17">
        <v>0.214478710346445</v>
      </c>
      <c r="F48" s="17"/>
      <c r="G48" s="17">
        <v>0.22208559246729501</v>
      </c>
      <c r="H48" s="17">
        <v>0.212781751303493</v>
      </c>
      <c r="I48" s="17">
        <v>0.195879353928231</v>
      </c>
      <c r="J48" s="17">
        <v>0.222529073882586</v>
      </c>
      <c r="K48" s="17">
        <v>0.219670731297546</v>
      </c>
      <c r="L48" s="17">
        <v>0.235085280372614</v>
      </c>
      <c r="M48" s="17"/>
      <c r="N48" s="17">
        <v>0.11713290537580601</v>
      </c>
      <c r="O48" s="17">
        <v>9.4912485276130401E-2</v>
      </c>
      <c r="P48" s="17">
        <v>0.304987815001527</v>
      </c>
      <c r="Q48" s="17">
        <v>0.302761287884177</v>
      </c>
      <c r="R48" s="17">
        <v>0.23853699252473201</v>
      </c>
      <c r="S48" s="17">
        <v>0.12777739673074401</v>
      </c>
      <c r="T48" s="17">
        <v>0.16863974887102801</v>
      </c>
      <c r="U48" s="17">
        <v>0.23696048604013001</v>
      </c>
      <c r="V48" s="17">
        <v>0.17836751237705001</v>
      </c>
      <c r="W48" s="17"/>
      <c r="X48" s="17">
        <v>0.21506373767907799</v>
      </c>
      <c r="Y48" s="17">
        <v>0.221797920630037</v>
      </c>
    </row>
    <row r="49" spans="2:25" x14ac:dyDescent="0.35">
      <c r="B49" t="s">
        <v>67</v>
      </c>
      <c r="C49" s="17">
        <v>0.203534287481446</v>
      </c>
      <c r="D49" s="17">
        <v>0.19860509514716601</v>
      </c>
      <c r="E49" s="17">
        <v>0.20816598894111699</v>
      </c>
      <c r="F49" s="17"/>
      <c r="G49" s="17">
        <v>0.32178750167110098</v>
      </c>
      <c r="H49" s="17">
        <v>0.23762835925796</v>
      </c>
      <c r="I49" s="17">
        <v>0.20786487275483501</v>
      </c>
      <c r="J49" s="17">
        <v>0.195191572982996</v>
      </c>
      <c r="K49" s="17">
        <v>0.18082671501789099</v>
      </c>
      <c r="L49" s="17">
        <v>0.15721324571407</v>
      </c>
      <c r="M49" s="17"/>
      <c r="N49" s="17">
        <v>0.13961836823349899</v>
      </c>
      <c r="O49" s="17">
        <v>0.13938690730736999</v>
      </c>
      <c r="P49" s="17">
        <v>0.14124099433523299</v>
      </c>
      <c r="Q49" s="17">
        <v>0.16821704999801401</v>
      </c>
      <c r="R49" s="17">
        <v>0.25836008449512998</v>
      </c>
      <c r="S49" s="17">
        <v>0.147868005232558</v>
      </c>
      <c r="T49" s="17">
        <v>0.245511266917917</v>
      </c>
      <c r="U49" s="17">
        <v>0.29774110009376598</v>
      </c>
      <c r="V49" s="17">
        <v>0.173211281509285</v>
      </c>
      <c r="W49" s="17"/>
      <c r="X49" s="17">
        <v>0.21465188932260701</v>
      </c>
      <c r="Y49" s="17">
        <v>0.19738217877425701</v>
      </c>
    </row>
    <row r="50" spans="2:25" x14ac:dyDescent="0.35">
      <c r="B50" t="s">
        <v>58</v>
      </c>
      <c r="C50" s="17">
        <v>0.17148438217276099</v>
      </c>
      <c r="D50" s="17">
        <v>0.17949834510239601</v>
      </c>
      <c r="E50" s="17">
        <v>0.16371090520836701</v>
      </c>
      <c r="F50" s="17"/>
      <c r="G50" s="17">
        <v>0.23935468912601199</v>
      </c>
      <c r="H50" s="17">
        <v>0.189897243136187</v>
      </c>
      <c r="I50" s="17">
        <v>0.162962313286314</v>
      </c>
      <c r="J50" s="17">
        <v>0.15701466099252501</v>
      </c>
      <c r="K50" s="17">
        <v>0.157371342808165</v>
      </c>
      <c r="L50" s="17">
        <v>0.15997038125379201</v>
      </c>
      <c r="M50" s="17"/>
      <c r="N50" s="17">
        <v>0.19744533139020101</v>
      </c>
      <c r="O50" s="17">
        <v>0.19549764910537901</v>
      </c>
      <c r="P50" s="17">
        <v>0.211904873203697</v>
      </c>
      <c r="Q50" s="17">
        <v>0.19859188440380701</v>
      </c>
      <c r="R50" s="17">
        <v>0.14834432092723801</v>
      </c>
      <c r="S50" s="17">
        <v>0.180853497545933</v>
      </c>
      <c r="T50" s="17">
        <v>9.2675224505053E-2</v>
      </c>
      <c r="U50" s="17">
        <v>0.189187801681518</v>
      </c>
      <c r="V50" s="17">
        <v>0.16518955631027701</v>
      </c>
      <c r="W50" s="17"/>
      <c r="X50" s="17">
        <v>0.18552483402171799</v>
      </c>
      <c r="Y50" s="17">
        <v>0.16371486611102901</v>
      </c>
    </row>
    <row r="51" spans="2:25" x14ac:dyDescent="0.35">
      <c r="B51" t="s">
        <v>64</v>
      </c>
      <c r="C51" s="17">
        <v>0.136046468699804</v>
      </c>
      <c r="D51" s="17">
        <v>0.15762757887519499</v>
      </c>
      <c r="E51" s="17">
        <v>0.116274376560927</v>
      </c>
      <c r="F51" s="17"/>
      <c r="G51" s="17">
        <v>0.13437290149092501</v>
      </c>
      <c r="H51" s="17">
        <v>0.15986573937330001</v>
      </c>
      <c r="I51" s="17">
        <v>0.144989973407364</v>
      </c>
      <c r="J51" s="17">
        <v>0.127000345983631</v>
      </c>
      <c r="K51" s="17">
        <v>0.132759515800881</v>
      </c>
      <c r="L51" s="17">
        <v>0.125176989911681</v>
      </c>
      <c r="M51" s="17"/>
      <c r="N51" s="17">
        <v>0.124104637968025</v>
      </c>
      <c r="O51" s="17">
        <v>5.2732347028432797E-2</v>
      </c>
      <c r="P51" s="17">
        <v>9.5776686598312497E-2</v>
      </c>
      <c r="Q51" s="17">
        <v>9.6213162076475303E-2</v>
      </c>
      <c r="R51" s="17">
        <v>9.7799794319349001E-2</v>
      </c>
      <c r="S51" s="17">
        <v>0.150222347155892</v>
      </c>
      <c r="T51" s="17">
        <v>0.24998451909538399</v>
      </c>
      <c r="U51" s="17">
        <v>0.15086747037130599</v>
      </c>
      <c r="V51" s="17">
        <v>0.12104067458993099</v>
      </c>
      <c r="W51" s="17"/>
      <c r="X51" s="17">
        <v>0.16754615193886199</v>
      </c>
      <c r="Y51" s="17">
        <v>0.118615598418836</v>
      </c>
    </row>
    <row r="52" spans="2:25" x14ac:dyDescent="0.35">
      <c r="B52" t="s">
        <v>62</v>
      </c>
      <c r="C52" s="17">
        <v>0.115898999131752</v>
      </c>
      <c r="D52" s="17">
        <v>0.118698573799466</v>
      </c>
      <c r="E52" s="17">
        <v>0.113402686282077</v>
      </c>
      <c r="F52" s="17"/>
      <c r="G52" s="17">
        <v>0.14879655759318799</v>
      </c>
      <c r="H52" s="17">
        <v>0.15277666728318401</v>
      </c>
      <c r="I52" s="17">
        <v>0.11281679071814101</v>
      </c>
      <c r="J52" s="17">
        <v>0.10727925686374</v>
      </c>
      <c r="K52" s="17">
        <v>0.10133622818377</v>
      </c>
      <c r="L52" s="17">
        <v>9.9278135239637993E-2</v>
      </c>
      <c r="M52" s="17"/>
      <c r="N52" s="17">
        <v>0.126576436119685</v>
      </c>
      <c r="O52" s="17">
        <v>5.6179997617792403E-2</v>
      </c>
      <c r="P52" s="17">
        <v>0.119145546230042</v>
      </c>
      <c r="Q52" s="17">
        <v>0.104234139215999</v>
      </c>
      <c r="R52" s="17">
        <v>0.110576244137586</v>
      </c>
      <c r="S52" s="17">
        <v>9.3927308370009399E-2</v>
      </c>
      <c r="T52" s="17">
        <v>0.205661559652978</v>
      </c>
      <c r="U52" s="17">
        <v>8.6923484558818806E-2</v>
      </c>
      <c r="V52" s="17">
        <v>7.7527362943140804E-2</v>
      </c>
      <c r="W52" s="17"/>
      <c r="X52" s="17">
        <v>0.119518117857982</v>
      </c>
      <c r="Y52" s="17">
        <v>0.11389629997539601</v>
      </c>
    </row>
    <row r="53" spans="2:25" x14ac:dyDescent="0.35">
      <c r="B53" t="s">
        <v>61</v>
      </c>
      <c r="C53" s="17">
        <v>0.111523797278438</v>
      </c>
      <c r="D53" s="17">
        <v>0.128915430876542</v>
      </c>
      <c r="E53" s="17">
        <v>9.5283143956378297E-2</v>
      </c>
      <c r="F53" s="17"/>
      <c r="G53" s="17">
        <v>0.111982264164946</v>
      </c>
      <c r="H53" s="17">
        <v>0.11863760062890601</v>
      </c>
      <c r="I53" s="17">
        <v>0.11997769424203999</v>
      </c>
      <c r="J53" s="17">
        <v>9.3702377125854899E-2</v>
      </c>
      <c r="K53" s="17">
        <v>9.3924888247575999E-2</v>
      </c>
      <c r="L53" s="17">
        <v>0.12548133317443799</v>
      </c>
      <c r="M53" s="17"/>
      <c r="N53" s="17">
        <v>0.106459826199459</v>
      </c>
      <c r="O53" s="17">
        <v>0.12869539122832399</v>
      </c>
      <c r="P53" s="17">
        <v>7.4157977424244501E-2</v>
      </c>
      <c r="Q53" s="17">
        <v>0.13828769382883699</v>
      </c>
      <c r="R53" s="17">
        <v>6.1202255116724398E-2</v>
      </c>
      <c r="S53" s="17">
        <v>0.10892996411761401</v>
      </c>
      <c r="T53" s="17">
        <v>0.196196761404794</v>
      </c>
      <c r="U53" s="17">
        <v>6.9846513642540298E-2</v>
      </c>
      <c r="V53" s="17">
        <v>0.15650130181754801</v>
      </c>
      <c r="W53" s="17"/>
      <c r="X53" s="17">
        <v>0.12860157383526799</v>
      </c>
      <c r="Y53" s="17">
        <v>0.10207352739507899</v>
      </c>
    </row>
    <row r="54" spans="2:25" x14ac:dyDescent="0.35">
      <c r="B54" t="s">
        <v>65</v>
      </c>
      <c r="C54" s="17">
        <v>8.5633255043523801E-2</v>
      </c>
      <c r="D54" s="17">
        <v>8.6038956336353098E-2</v>
      </c>
      <c r="E54" s="17">
        <v>8.5593981435276703E-2</v>
      </c>
      <c r="F54" s="17"/>
      <c r="G54" s="17">
        <v>0.104204782634733</v>
      </c>
      <c r="H54" s="17">
        <v>0.103724484577112</v>
      </c>
      <c r="I54" s="17">
        <v>8.2909858820604906E-2</v>
      </c>
      <c r="J54" s="17">
        <v>7.6973908185097598E-2</v>
      </c>
      <c r="K54" s="17">
        <v>7.08261400838405E-2</v>
      </c>
      <c r="L54" s="17">
        <v>8.5422801341232396E-2</v>
      </c>
      <c r="M54" s="17"/>
      <c r="N54" s="17">
        <v>0.10607448642254801</v>
      </c>
      <c r="O54" s="17">
        <v>0.151506330165084</v>
      </c>
      <c r="P54" s="17">
        <v>4.6831765356804902E-2</v>
      </c>
      <c r="Q54" s="17">
        <v>9.67289231780568E-2</v>
      </c>
      <c r="R54" s="17">
        <v>6.2750889112869995E-2</v>
      </c>
      <c r="S54" s="17">
        <v>8.0848206874846396E-2</v>
      </c>
      <c r="T54" s="17">
        <v>0.174391201398234</v>
      </c>
      <c r="U54" s="17">
        <v>4.4606198326279697E-2</v>
      </c>
      <c r="V54" s="17">
        <v>6.1357796559332801E-2</v>
      </c>
      <c r="W54" s="17"/>
      <c r="X54" s="17">
        <v>8.0907256212359904E-2</v>
      </c>
      <c r="Y54" s="17">
        <v>8.8248464598135304E-2</v>
      </c>
    </row>
    <row r="55" spans="2:25" x14ac:dyDescent="0.35">
      <c r="B55" t="s">
        <v>60</v>
      </c>
      <c r="C55" s="17">
        <v>8.3568025153118897E-2</v>
      </c>
      <c r="D55" s="17">
        <v>9.2015439194222295E-2</v>
      </c>
      <c r="E55" s="17">
        <v>7.5950014551053796E-2</v>
      </c>
      <c r="F55" s="17"/>
      <c r="G55" s="17">
        <v>0.104489893988083</v>
      </c>
      <c r="H55" s="17">
        <v>9.2365007630117998E-2</v>
      </c>
      <c r="I55" s="17">
        <v>7.4261410420245394E-2</v>
      </c>
      <c r="J55" s="17">
        <v>7.6101829640587398E-2</v>
      </c>
      <c r="K55" s="17">
        <v>6.2779728983047303E-2</v>
      </c>
      <c r="L55" s="17">
        <v>9.5329368638078907E-2</v>
      </c>
      <c r="M55" s="17"/>
      <c r="N55" s="17">
        <v>9.1533806365287004E-2</v>
      </c>
      <c r="O55" s="17">
        <v>8.8823846911588802E-2</v>
      </c>
      <c r="P55" s="17">
        <v>7.2396807304994898E-2</v>
      </c>
      <c r="Q55" s="17">
        <v>8.53349109441396E-2</v>
      </c>
      <c r="R55" s="17">
        <v>6.7660744857883703E-2</v>
      </c>
      <c r="S55" s="17">
        <v>0.13162760794758499</v>
      </c>
      <c r="T55" s="17">
        <v>6.5514235744500104E-2</v>
      </c>
      <c r="U55" s="17">
        <v>7.4890516570573898E-2</v>
      </c>
      <c r="V55" s="17">
        <v>8.6634593207074104E-2</v>
      </c>
      <c r="W55" s="17"/>
      <c r="X55" s="17">
        <v>7.6443767663576301E-2</v>
      </c>
      <c r="Y55" s="17">
        <v>8.7510350769728601E-2</v>
      </c>
    </row>
    <row r="56" spans="2:25" x14ac:dyDescent="0.35">
      <c r="B56" t="s">
        <v>68</v>
      </c>
      <c r="C56" s="17">
        <v>7.5952871686417699E-3</v>
      </c>
      <c r="D56" s="17">
        <v>7.6900329519270401E-3</v>
      </c>
      <c r="E56" s="17">
        <v>7.5364852959080202E-3</v>
      </c>
      <c r="F56" s="17"/>
      <c r="G56" s="17">
        <v>5.6395644593775704E-3</v>
      </c>
      <c r="H56" s="17">
        <v>3.0201932239391498E-3</v>
      </c>
      <c r="I56" s="17">
        <v>6.7520918383097801E-3</v>
      </c>
      <c r="J56" s="17">
        <v>9.09341263267501E-3</v>
      </c>
      <c r="K56" s="17">
        <v>8.3276740587338704E-3</v>
      </c>
      <c r="L56" s="17">
        <v>1.0066546140703901E-2</v>
      </c>
      <c r="M56" s="17"/>
      <c r="N56" s="17">
        <v>0</v>
      </c>
      <c r="O56" s="17">
        <v>0</v>
      </c>
      <c r="P56" s="17">
        <v>5.72473201050049E-3</v>
      </c>
      <c r="Q56" s="17">
        <v>7.8542825439446608E-3</v>
      </c>
      <c r="R56" s="17">
        <v>1.3750179007993701E-2</v>
      </c>
      <c r="S56" s="17">
        <v>1.14012890181115E-2</v>
      </c>
      <c r="T56" s="17">
        <v>6.8546645854159803E-3</v>
      </c>
      <c r="U56" s="17">
        <v>5.1083894208788999E-3</v>
      </c>
      <c r="V56" s="17">
        <v>2.54640109804168E-3</v>
      </c>
      <c r="W56" s="17"/>
      <c r="X56" s="17">
        <v>6.8374268802069401E-3</v>
      </c>
      <c r="Y56" s="17">
        <v>8.0146616835709908E-3</v>
      </c>
    </row>
    <row r="57" spans="2:25" x14ac:dyDescent="0.35">
      <c r="B57" t="s">
        <v>69</v>
      </c>
      <c r="C57" s="17">
        <v>0.171696767868945</v>
      </c>
      <c r="D57" s="17">
        <v>0.12737381306582299</v>
      </c>
      <c r="E57" s="17">
        <v>0.213273441603896</v>
      </c>
      <c r="F57" s="17"/>
      <c r="G57" s="17">
        <v>0.106699455041133</v>
      </c>
      <c r="H57" s="17">
        <v>0.125823008331652</v>
      </c>
      <c r="I57" s="17">
        <v>0.15719054225300799</v>
      </c>
      <c r="J57" s="17">
        <v>0.182223100341599</v>
      </c>
      <c r="K57" s="17">
        <v>0.213222551308484</v>
      </c>
      <c r="L57" s="17">
        <v>0.19782070535579599</v>
      </c>
      <c r="M57" s="17"/>
      <c r="N57" s="17">
        <v>0.268522142515422</v>
      </c>
      <c r="O57" s="17">
        <v>0.139836941993733</v>
      </c>
      <c r="P57" s="17">
        <v>0.17365033252792</v>
      </c>
      <c r="Q57" s="17">
        <v>0.20449543646302601</v>
      </c>
      <c r="R57" s="17">
        <v>0.15895750568887099</v>
      </c>
      <c r="S57" s="17">
        <v>0.230866634453015</v>
      </c>
      <c r="T57" s="17">
        <v>0.136921241651177</v>
      </c>
      <c r="U57" s="17">
        <v>0.101260246707623</v>
      </c>
      <c r="V57" s="17">
        <v>0.198005993784856</v>
      </c>
      <c r="W57" s="17"/>
      <c r="X57" s="17">
        <v>0.11259930477102</v>
      </c>
      <c r="Y57" s="17">
        <v>0.204399325712983</v>
      </c>
    </row>
    <row r="58" spans="2:25" x14ac:dyDescent="0.35">
      <c r="C58" s="17"/>
      <c r="D58" s="17"/>
      <c r="E58" s="17"/>
      <c r="F58" s="17"/>
      <c r="G58" s="17"/>
      <c r="H58" s="17"/>
      <c r="I58" s="17"/>
      <c r="J58" s="17"/>
      <c r="K58" s="17"/>
      <c r="L58" s="17"/>
      <c r="M58" s="17"/>
      <c r="N58" s="17"/>
      <c r="O58" s="17"/>
      <c r="P58" s="17"/>
      <c r="Q58" s="17"/>
      <c r="R58" s="17"/>
      <c r="S58" s="17"/>
      <c r="T58" s="17"/>
      <c r="U58" s="17"/>
      <c r="V58" s="17"/>
      <c r="W58" s="17"/>
      <c r="X58" s="17"/>
      <c r="Y58" s="17"/>
    </row>
    <row r="59" spans="2:25" x14ac:dyDescent="0.35">
      <c r="B59" s="6" t="s">
        <v>82</v>
      </c>
      <c r="C59" s="17"/>
      <c r="D59" s="17"/>
      <c r="E59" s="17"/>
      <c r="F59" s="17"/>
      <c r="G59" s="17"/>
      <c r="H59" s="17"/>
      <c r="I59" s="17"/>
      <c r="J59" s="17"/>
      <c r="K59" s="17"/>
      <c r="L59" s="17"/>
      <c r="M59" s="17"/>
      <c r="N59" s="17"/>
      <c r="O59" s="17"/>
      <c r="P59" s="17"/>
      <c r="Q59" s="17"/>
      <c r="R59" s="17"/>
      <c r="S59" s="17"/>
      <c r="T59" s="17"/>
      <c r="U59" s="17"/>
      <c r="V59" s="17"/>
      <c r="W59" s="17"/>
      <c r="X59" s="17"/>
      <c r="Y59" s="17"/>
    </row>
    <row r="60" spans="2:25" x14ac:dyDescent="0.35">
      <c r="B60" s="24" t="s">
        <v>50</v>
      </c>
      <c r="C60" s="17"/>
      <c r="D60" s="17"/>
      <c r="E60" s="17"/>
      <c r="F60" s="17"/>
      <c r="G60" s="17"/>
      <c r="H60" s="17"/>
      <c r="I60" s="17"/>
      <c r="J60" s="17"/>
      <c r="K60" s="17"/>
      <c r="L60" s="17"/>
      <c r="M60" s="17"/>
      <c r="N60" s="17"/>
      <c r="O60" s="17"/>
      <c r="P60" s="17"/>
      <c r="Q60" s="17"/>
      <c r="R60" s="17"/>
      <c r="S60" s="17"/>
      <c r="T60" s="17"/>
      <c r="U60" s="17"/>
      <c r="V60" s="17"/>
      <c r="W60" s="17"/>
      <c r="X60" s="17"/>
      <c r="Y60" s="17"/>
    </row>
    <row r="61" spans="2:25" x14ac:dyDescent="0.35">
      <c r="B61" t="s">
        <v>75</v>
      </c>
      <c r="C61" s="17">
        <v>8.0452850815135396E-2</v>
      </c>
      <c r="D61" s="17">
        <v>9.5443778311220806E-2</v>
      </c>
      <c r="E61" s="17">
        <v>6.6662307665352694E-2</v>
      </c>
      <c r="F61" s="17"/>
      <c r="G61" s="17">
        <v>9.2997796903615204E-2</v>
      </c>
      <c r="H61" s="17">
        <v>9.6956490158355502E-2</v>
      </c>
      <c r="I61" s="17">
        <v>9.6045910550987296E-2</v>
      </c>
      <c r="J61" s="17">
        <v>7.8165203569067102E-2</v>
      </c>
      <c r="K61" s="17">
        <v>7.6480297978240699E-2</v>
      </c>
      <c r="L61" s="17">
        <v>6.0190245682533998E-2</v>
      </c>
      <c r="M61" s="17"/>
      <c r="N61" s="17">
        <v>0.21882299669974101</v>
      </c>
      <c r="O61" s="17">
        <v>3.8143702851322001E-2</v>
      </c>
      <c r="P61" s="17">
        <v>9.7849850180875303E-2</v>
      </c>
      <c r="Q61" s="17">
        <v>5.5045890546335102E-2</v>
      </c>
      <c r="R61" s="17">
        <v>2.13515067410497E-2</v>
      </c>
      <c r="S61" s="17">
        <v>9.5699215181021605E-2</v>
      </c>
      <c r="T61" s="17">
        <v>0.121659978131319</v>
      </c>
      <c r="U61" s="17">
        <v>6.3944661079752399E-2</v>
      </c>
      <c r="V61" s="17">
        <v>9.7305418802404994E-2</v>
      </c>
      <c r="W61" s="17"/>
      <c r="X61" s="17">
        <v>0.110128309400767</v>
      </c>
      <c r="Y61" s="17">
        <v>6.4031445393097297E-2</v>
      </c>
    </row>
    <row r="62" spans="2:25" x14ac:dyDescent="0.35">
      <c r="B62" t="s">
        <v>76</v>
      </c>
      <c r="C62" s="17">
        <v>0.352913068134666</v>
      </c>
      <c r="D62" s="17">
        <v>0.37877146416819601</v>
      </c>
      <c r="E62" s="17">
        <v>0.32972578454266199</v>
      </c>
      <c r="F62" s="17"/>
      <c r="G62" s="17">
        <v>0.389340916326534</v>
      </c>
      <c r="H62" s="17">
        <v>0.35627313853370002</v>
      </c>
      <c r="I62" s="17">
        <v>0.34895436888300002</v>
      </c>
      <c r="J62" s="17">
        <v>0.34594715216808902</v>
      </c>
      <c r="K62" s="17">
        <v>0.33174817666550699</v>
      </c>
      <c r="L62" s="17">
        <v>0.35859806445704401</v>
      </c>
      <c r="M62" s="17"/>
      <c r="N62" s="17">
        <v>0.456659937761211</v>
      </c>
      <c r="O62" s="17">
        <v>0.46425225941523202</v>
      </c>
      <c r="P62" s="17">
        <v>0.32738604829185602</v>
      </c>
      <c r="Q62" s="17">
        <v>0.34311863750946697</v>
      </c>
      <c r="R62" s="17">
        <v>0.169101715179092</v>
      </c>
      <c r="S62" s="17">
        <v>0.48757186314724599</v>
      </c>
      <c r="T62" s="17">
        <v>0.40114357072594298</v>
      </c>
      <c r="U62" s="17">
        <v>0.307714519837687</v>
      </c>
      <c r="V62" s="17">
        <v>0.44575311870807899</v>
      </c>
      <c r="W62" s="17"/>
      <c r="X62" s="17">
        <v>0.40543466483111701</v>
      </c>
      <c r="Y62" s="17">
        <v>0.323849374635998</v>
      </c>
    </row>
    <row r="63" spans="2:25" x14ac:dyDescent="0.35">
      <c r="B63" t="s">
        <v>77</v>
      </c>
      <c r="C63" s="17">
        <v>0.31907578174048101</v>
      </c>
      <c r="D63" s="17">
        <v>0.30864872739744798</v>
      </c>
      <c r="E63" s="17">
        <v>0.327887282327253</v>
      </c>
      <c r="F63" s="17"/>
      <c r="G63" s="17">
        <v>0.30308138981517102</v>
      </c>
      <c r="H63" s="17">
        <v>0.31225474311472001</v>
      </c>
      <c r="I63" s="17">
        <v>0.28518975518412698</v>
      </c>
      <c r="J63" s="17">
        <v>0.31449951239252999</v>
      </c>
      <c r="K63" s="17">
        <v>0.33039982437821602</v>
      </c>
      <c r="L63" s="17">
        <v>0.34647576241272499</v>
      </c>
      <c r="M63" s="17"/>
      <c r="N63" s="17">
        <v>0.23737984375009899</v>
      </c>
      <c r="O63" s="17">
        <v>0.28340388151232199</v>
      </c>
      <c r="P63" s="17">
        <v>0.30344838411326902</v>
      </c>
      <c r="Q63" s="17">
        <v>0.37408823032879301</v>
      </c>
      <c r="R63" s="17">
        <v>0.38389923418384098</v>
      </c>
      <c r="S63" s="17">
        <v>0.240776379576746</v>
      </c>
      <c r="T63" s="17">
        <v>0.32966793460128602</v>
      </c>
      <c r="U63" s="17">
        <v>0.31487928419827799</v>
      </c>
      <c r="V63" s="17">
        <v>0.29939666705504803</v>
      </c>
      <c r="W63" s="17"/>
      <c r="X63" s="17">
        <v>0.28738439730882698</v>
      </c>
      <c r="Y63" s="17">
        <v>0.33661273304440698</v>
      </c>
    </row>
    <row r="64" spans="2:25" x14ac:dyDescent="0.35">
      <c r="B64" t="s">
        <v>78</v>
      </c>
      <c r="C64" s="17">
        <v>0.1354822981795</v>
      </c>
      <c r="D64" s="17">
        <v>0.131280302457847</v>
      </c>
      <c r="E64" s="17">
        <v>0.13913056654640299</v>
      </c>
      <c r="F64" s="17"/>
      <c r="G64" s="17">
        <v>0.13430093779704499</v>
      </c>
      <c r="H64" s="17">
        <v>0.14384652892865099</v>
      </c>
      <c r="I64" s="17">
        <v>0.14000150093885699</v>
      </c>
      <c r="J64" s="17">
        <v>0.13351895260234101</v>
      </c>
      <c r="K64" s="17">
        <v>0.14204029832189199</v>
      </c>
      <c r="L64" s="17">
        <v>0.125096630775442</v>
      </c>
      <c r="M64" s="17"/>
      <c r="N64" s="17">
        <v>3.3455394408800597E-2</v>
      </c>
      <c r="O64" s="17">
        <v>6.4669692746237503E-2</v>
      </c>
      <c r="P64" s="17">
        <v>0.16596931856376401</v>
      </c>
      <c r="Q64" s="17">
        <v>0.121920420186361</v>
      </c>
      <c r="R64" s="17">
        <v>0.25872551304906999</v>
      </c>
      <c r="S64" s="17">
        <v>7.2236509977357893E-2</v>
      </c>
      <c r="T64" s="17">
        <v>8.0091164093224906E-2</v>
      </c>
      <c r="U64" s="17">
        <v>0.17903312674481001</v>
      </c>
      <c r="V64" s="17">
        <v>6.1790625011347203E-2</v>
      </c>
      <c r="W64" s="17"/>
      <c r="X64" s="17">
        <v>0.113223732602156</v>
      </c>
      <c r="Y64" s="17">
        <v>0.14779944328456601</v>
      </c>
    </row>
    <row r="65" spans="2:25" x14ac:dyDescent="0.35">
      <c r="B65" t="s">
        <v>79</v>
      </c>
      <c r="C65" s="17">
        <v>5.7158771540744002E-2</v>
      </c>
      <c r="D65" s="17">
        <v>5.27613742091892E-2</v>
      </c>
      <c r="E65" s="17">
        <v>6.11889230743905E-2</v>
      </c>
      <c r="F65" s="17"/>
      <c r="G65" s="17">
        <v>2.5975932356439298E-2</v>
      </c>
      <c r="H65" s="17">
        <v>4.6874035414524701E-2</v>
      </c>
      <c r="I65" s="17">
        <v>6.8167166199855994E-2</v>
      </c>
      <c r="J65" s="17">
        <v>6.6482883699383405E-2</v>
      </c>
      <c r="K65" s="17">
        <v>6.3755246409350694E-2</v>
      </c>
      <c r="L65" s="17">
        <v>5.7076858095106001E-2</v>
      </c>
      <c r="M65" s="17"/>
      <c r="N65" s="17">
        <v>4.4363435696254403E-3</v>
      </c>
      <c r="O65" s="17">
        <v>2.8644514433600599E-2</v>
      </c>
      <c r="P65" s="17">
        <v>4.5705783582150897E-2</v>
      </c>
      <c r="Q65" s="17">
        <v>4.96699568356831E-2</v>
      </c>
      <c r="R65" s="17">
        <v>0.108186337481653</v>
      </c>
      <c r="S65" s="17">
        <v>2.6904051260473801E-2</v>
      </c>
      <c r="T65" s="17">
        <v>4.4498502433329201E-2</v>
      </c>
      <c r="U65" s="17">
        <v>9.92984271309022E-2</v>
      </c>
      <c r="V65" s="17">
        <v>2.0467401217388902E-2</v>
      </c>
      <c r="W65" s="17"/>
      <c r="X65" s="17">
        <v>4.2962169918130802E-2</v>
      </c>
      <c r="Y65" s="17">
        <v>6.5014695660244398E-2</v>
      </c>
    </row>
    <row r="66" spans="2:25" x14ac:dyDescent="0.35">
      <c r="B66" t="s">
        <v>80</v>
      </c>
      <c r="C66" s="17">
        <v>5.4917229589473301E-2</v>
      </c>
      <c r="D66" s="17">
        <v>3.30943534560992E-2</v>
      </c>
      <c r="E66" s="17">
        <v>7.5405135843939403E-2</v>
      </c>
      <c r="F66" s="17"/>
      <c r="G66" s="17">
        <v>5.4303026801196502E-2</v>
      </c>
      <c r="H66" s="17">
        <v>4.3795063850048603E-2</v>
      </c>
      <c r="I66" s="17">
        <v>6.1641298243171799E-2</v>
      </c>
      <c r="J66" s="17">
        <v>6.1386295568588899E-2</v>
      </c>
      <c r="K66" s="17">
        <v>5.5576156246793601E-2</v>
      </c>
      <c r="L66" s="17">
        <v>5.2562438577149297E-2</v>
      </c>
      <c r="M66" s="17"/>
      <c r="N66" s="17">
        <v>4.9245483810523398E-2</v>
      </c>
      <c r="O66" s="17">
        <v>0.12088594904128599</v>
      </c>
      <c r="P66" s="17">
        <v>5.9640615268084098E-2</v>
      </c>
      <c r="Q66" s="17">
        <v>5.6156864593360903E-2</v>
      </c>
      <c r="R66" s="17">
        <v>5.8735693365294502E-2</v>
      </c>
      <c r="S66" s="17">
        <v>7.6811980857154294E-2</v>
      </c>
      <c r="T66" s="17">
        <v>2.2938850014897299E-2</v>
      </c>
      <c r="U66" s="17">
        <v>3.5129981008569802E-2</v>
      </c>
      <c r="V66" s="17">
        <v>7.5286769205732101E-2</v>
      </c>
      <c r="W66" s="17"/>
      <c r="X66" s="17">
        <v>4.0866725939002903E-2</v>
      </c>
      <c r="Y66" s="17">
        <v>6.26923079816879E-2</v>
      </c>
    </row>
    <row r="67" spans="2:25" x14ac:dyDescent="0.35">
      <c r="C67" s="17"/>
      <c r="D67" s="17"/>
      <c r="E67" s="17"/>
      <c r="F67" s="17"/>
      <c r="G67" s="17"/>
      <c r="H67" s="17"/>
      <c r="I67" s="17"/>
      <c r="J67" s="17"/>
      <c r="K67" s="17"/>
      <c r="L67" s="17"/>
      <c r="M67" s="17"/>
      <c r="N67" s="17"/>
      <c r="O67" s="17"/>
      <c r="P67" s="17"/>
      <c r="Q67" s="17"/>
      <c r="R67" s="17"/>
      <c r="S67" s="17"/>
      <c r="T67" s="17"/>
      <c r="U67" s="17"/>
      <c r="V67" s="17"/>
      <c r="W67" s="17"/>
      <c r="X67" s="17"/>
      <c r="Y67" s="17"/>
    </row>
    <row r="68" spans="2:25" x14ac:dyDescent="0.35">
      <c r="B68" s="6" t="s">
        <v>83</v>
      </c>
      <c r="C68" s="17"/>
      <c r="D68" s="17"/>
      <c r="E68" s="17"/>
      <c r="F68" s="17"/>
      <c r="G68" s="17"/>
      <c r="H68" s="17"/>
      <c r="I68" s="17"/>
      <c r="J68" s="17"/>
      <c r="K68" s="17"/>
      <c r="L68" s="17"/>
      <c r="M68" s="17"/>
      <c r="N68" s="17"/>
      <c r="O68" s="17"/>
      <c r="P68" s="17"/>
      <c r="Q68" s="17"/>
      <c r="R68" s="17"/>
      <c r="S68" s="17"/>
      <c r="T68" s="17"/>
      <c r="U68" s="17"/>
      <c r="V68" s="17"/>
      <c r="W68" s="17"/>
      <c r="X68" s="17"/>
      <c r="Y68" s="17"/>
    </row>
    <row r="69" spans="2:25" x14ac:dyDescent="0.35">
      <c r="B69" s="24" t="s">
        <v>50</v>
      </c>
      <c r="C69" s="17"/>
      <c r="D69" s="17"/>
      <c r="E69" s="17"/>
      <c r="F69" s="17"/>
      <c r="G69" s="17"/>
      <c r="H69" s="17"/>
      <c r="I69" s="17"/>
      <c r="J69" s="17"/>
      <c r="K69" s="17"/>
      <c r="L69" s="17"/>
      <c r="M69" s="17"/>
      <c r="N69" s="17"/>
      <c r="O69" s="17"/>
      <c r="P69" s="17"/>
      <c r="Q69" s="17"/>
      <c r="R69" s="17"/>
      <c r="S69" s="17"/>
      <c r="T69" s="17"/>
      <c r="U69" s="17"/>
      <c r="V69" s="17"/>
      <c r="W69" s="17"/>
      <c r="X69" s="17"/>
      <c r="Y69" s="17"/>
    </row>
    <row r="70" spans="2:25" x14ac:dyDescent="0.35">
      <c r="B70" t="s">
        <v>75</v>
      </c>
      <c r="C70" s="17">
        <v>0.104762760333348</v>
      </c>
      <c r="D70" s="17">
        <v>0.119430613148413</v>
      </c>
      <c r="E70" s="17">
        <v>9.05602269911569E-2</v>
      </c>
      <c r="F70" s="17"/>
      <c r="G70" s="17">
        <v>0.14343242416746099</v>
      </c>
      <c r="H70" s="17">
        <v>0.15239048295025201</v>
      </c>
      <c r="I70" s="17">
        <v>0.11814854938248801</v>
      </c>
      <c r="J70" s="17">
        <v>9.1646016918511E-2</v>
      </c>
      <c r="K70" s="17">
        <v>8.2022391299509695E-2</v>
      </c>
      <c r="L70" s="17">
        <v>7.7522188799131503E-2</v>
      </c>
      <c r="M70" s="17"/>
      <c r="N70" s="17">
        <v>8.6173821628889799E-2</v>
      </c>
      <c r="O70" s="17">
        <v>2.0656761835880499E-2</v>
      </c>
      <c r="P70" s="17">
        <v>9.0867023804569305E-2</v>
      </c>
      <c r="Q70" s="17">
        <v>0.24115889272921301</v>
      </c>
      <c r="R70" s="17">
        <v>6.5861279063379005E-2</v>
      </c>
      <c r="S70" s="17">
        <v>5.9312464398857102E-2</v>
      </c>
      <c r="T70" s="17">
        <v>8.9623949776769907E-2</v>
      </c>
      <c r="U70" s="17">
        <v>8.4430395286730603E-2</v>
      </c>
      <c r="V70" s="17">
        <v>0.150934401032122</v>
      </c>
      <c r="W70" s="17"/>
      <c r="X70" s="17">
        <v>0.109771171821857</v>
      </c>
      <c r="Y70" s="17">
        <v>0.101991273067672</v>
      </c>
    </row>
    <row r="71" spans="2:25" x14ac:dyDescent="0.35">
      <c r="B71" t="s">
        <v>76</v>
      </c>
      <c r="C71" s="17">
        <v>0.38409659894105702</v>
      </c>
      <c r="D71" s="17">
        <v>0.38592272230707803</v>
      </c>
      <c r="E71" s="17">
        <v>0.38335792191463702</v>
      </c>
      <c r="F71" s="17"/>
      <c r="G71" s="17">
        <v>0.44328707673182399</v>
      </c>
      <c r="H71" s="17">
        <v>0.40675620066503898</v>
      </c>
      <c r="I71" s="17">
        <v>0.39153342722434198</v>
      </c>
      <c r="J71" s="17">
        <v>0.38427773956897898</v>
      </c>
      <c r="K71" s="17">
        <v>0.36217226458303098</v>
      </c>
      <c r="L71" s="17">
        <v>0.35819177829966897</v>
      </c>
      <c r="M71" s="17"/>
      <c r="N71" s="17">
        <v>0.277229390804131</v>
      </c>
      <c r="O71" s="17">
        <v>0.19683884378688199</v>
      </c>
      <c r="P71" s="17">
        <v>0.39939866832653598</v>
      </c>
      <c r="Q71" s="17">
        <v>0.42194846491400501</v>
      </c>
      <c r="R71" s="17">
        <v>0.38113741117512201</v>
      </c>
      <c r="S71" s="17">
        <v>0.33653508445786201</v>
      </c>
      <c r="T71" s="17">
        <v>0.41709241809009101</v>
      </c>
      <c r="U71" s="17">
        <v>0.385619075231662</v>
      </c>
      <c r="V71" s="17">
        <v>0.43986541677968299</v>
      </c>
      <c r="W71" s="17"/>
      <c r="X71" s="17">
        <v>0.37840879039840097</v>
      </c>
      <c r="Y71" s="17">
        <v>0.387244041794294</v>
      </c>
    </row>
    <row r="72" spans="2:25" x14ac:dyDescent="0.35">
      <c r="B72" t="s">
        <v>77</v>
      </c>
      <c r="C72" s="17">
        <v>0.30973228819009901</v>
      </c>
      <c r="D72" s="17">
        <v>0.29920574183173698</v>
      </c>
      <c r="E72" s="17">
        <v>0.31972687320650101</v>
      </c>
      <c r="F72" s="17"/>
      <c r="G72" s="17">
        <v>0.26681431047218901</v>
      </c>
      <c r="H72" s="17">
        <v>0.29087857584229398</v>
      </c>
      <c r="I72" s="17">
        <v>0.26800619093429401</v>
      </c>
      <c r="J72" s="17">
        <v>0.29346795311490398</v>
      </c>
      <c r="K72" s="17">
        <v>0.34373293136348698</v>
      </c>
      <c r="L72" s="17">
        <v>0.352364839183542</v>
      </c>
      <c r="M72" s="17"/>
      <c r="N72" s="17">
        <v>0.33831485274623102</v>
      </c>
      <c r="O72" s="17">
        <v>0.47581389159806498</v>
      </c>
      <c r="P72" s="17">
        <v>0.29057004177261098</v>
      </c>
      <c r="Q72" s="17">
        <v>0.20284305735515401</v>
      </c>
      <c r="R72" s="17">
        <v>0.32386817766551401</v>
      </c>
      <c r="S72" s="17">
        <v>0.36962812343394702</v>
      </c>
      <c r="T72" s="17">
        <v>0.31986698905299499</v>
      </c>
      <c r="U72" s="17">
        <v>0.333258310194121</v>
      </c>
      <c r="V72" s="17">
        <v>0.25687908108206903</v>
      </c>
      <c r="W72" s="17"/>
      <c r="X72" s="17">
        <v>0.30612543061680098</v>
      </c>
      <c r="Y72" s="17">
        <v>0.311728202434853</v>
      </c>
    </row>
    <row r="73" spans="2:25" x14ac:dyDescent="0.35">
      <c r="B73" t="s">
        <v>78</v>
      </c>
      <c r="C73" s="17">
        <v>0.114376091558684</v>
      </c>
      <c r="D73" s="17">
        <v>0.12357817876888399</v>
      </c>
      <c r="E73" s="17">
        <v>0.105861324826865</v>
      </c>
      <c r="F73" s="17"/>
      <c r="G73" s="17">
        <v>8.64865480760897E-2</v>
      </c>
      <c r="H73" s="17">
        <v>7.4429634141806603E-2</v>
      </c>
      <c r="I73" s="17">
        <v>0.114790763802295</v>
      </c>
      <c r="J73" s="17">
        <v>0.130598276178235</v>
      </c>
      <c r="K73" s="17">
        <v>0.13595963772537001</v>
      </c>
      <c r="L73" s="17">
        <v>0.122844682797513</v>
      </c>
      <c r="M73" s="17"/>
      <c r="N73" s="17">
        <v>0.13726306379021</v>
      </c>
      <c r="O73" s="17">
        <v>0.21442671891402601</v>
      </c>
      <c r="P73" s="17">
        <v>0.14896023384478199</v>
      </c>
      <c r="Q73" s="17">
        <v>7.4739928373744699E-2</v>
      </c>
      <c r="R73" s="17">
        <v>0.12787499771052199</v>
      </c>
      <c r="S73" s="17">
        <v>0.12212166806602399</v>
      </c>
      <c r="T73" s="17">
        <v>8.2714053226449799E-2</v>
      </c>
      <c r="U73" s="17">
        <v>0.119241068073684</v>
      </c>
      <c r="V73" s="17">
        <v>7.9364398689139207E-2</v>
      </c>
      <c r="W73" s="17"/>
      <c r="X73" s="17">
        <v>0.13073721290808499</v>
      </c>
      <c r="Y73" s="17">
        <v>0.105322394677727</v>
      </c>
    </row>
    <row r="74" spans="2:25" x14ac:dyDescent="0.35">
      <c r="B74" t="s">
        <v>79</v>
      </c>
      <c r="C74" s="17">
        <v>3.6254819415314603E-2</v>
      </c>
      <c r="D74" s="17">
        <v>4.3821946483344497E-2</v>
      </c>
      <c r="E74" s="17">
        <v>2.8423151468679301E-2</v>
      </c>
      <c r="F74" s="17"/>
      <c r="G74" s="17">
        <v>1.45867219076677E-2</v>
      </c>
      <c r="H74" s="17">
        <v>3.2471676876178197E-2</v>
      </c>
      <c r="I74" s="17">
        <v>4.9993625458572798E-2</v>
      </c>
      <c r="J74" s="17">
        <v>3.5038318796214898E-2</v>
      </c>
      <c r="K74" s="17">
        <v>3.3204184183106597E-2</v>
      </c>
      <c r="L74" s="17">
        <v>4.0584582363619399E-2</v>
      </c>
      <c r="M74" s="17"/>
      <c r="N74" s="17">
        <v>6.17089536915367E-2</v>
      </c>
      <c r="O74" s="17">
        <v>3.1767227817228898E-2</v>
      </c>
      <c r="P74" s="17">
        <v>2.6634400618793599E-2</v>
      </c>
      <c r="Q74" s="17">
        <v>2.5098595503778E-2</v>
      </c>
      <c r="R74" s="17">
        <v>4.9780692288363203E-2</v>
      </c>
      <c r="S74" s="17">
        <v>2.47183938523656E-2</v>
      </c>
      <c r="T74" s="17">
        <v>5.5643739636143899E-2</v>
      </c>
      <c r="U74" s="17">
        <v>3.7894962504741503E-2</v>
      </c>
      <c r="V74" s="17">
        <v>1.96319351051722E-2</v>
      </c>
      <c r="W74" s="17"/>
      <c r="X74" s="17">
        <v>3.3824531733678997E-2</v>
      </c>
      <c r="Y74" s="17">
        <v>3.7599659266640301E-2</v>
      </c>
    </row>
    <row r="75" spans="2:25" x14ac:dyDescent="0.35">
      <c r="B75" t="s">
        <v>80</v>
      </c>
      <c r="C75" s="17">
        <v>5.0777441561497202E-2</v>
      </c>
      <c r="D75" s="17">
        <v>2.80407974605449E-2</v>
      </c>
      <c r="E75" s="17">
        <v>7.2070501592160593E-2</v>
      </c>
      <c r="F75" s="17"/>
      <c r="G75" s="17">
        <v>4.5392918644768403E-2</v>
      </c>
      <c r="H75" s="17">
        <v>4.3073429524429503E-2</v>
      </c>
      <c r="I75" s="17">
        <v>5.7527443198008198E-2</v>
      </c>
      <c r="J75" s="17">
        <v>6.4971695423156298E-2</v>
      </c>
      <c r="K75" s="17">
        <v>4.2908590845495399E-2</v>
      </c>
      <c r="L75" s="17">
        <v>4.8491928556525697E-2</v>
      </c>
      <c r="M75" s="17"/>
      <c r="N75" s="17">
        <v>9.9309917339001103E-2</v>
      </c>
      <c r="O75" s="17">
        <v>6.0496556047917302E-2</v>
      </c>
      <c r="P75" s="17">
        <v>4.3569631632708099E-2</v>
      </c>
      <c r="Q75" s="17">
        <v>3.4211061124105199E-2</v>
      </c>
      <c r="R75" s="17">
        <v>5.1477442097099799E-2</v>
      </c>
      <c r="S75" s="17">
        <v>8.7684265790945598E-2</v>
      </c>
      <c r="T75" s="17">
        <v>3.5058850217550397E-2</v>
      </c>
      <c r="U75" s="17">
        <v>3.9556188709059997E-2</v>
      </c>
      <c r="V75" s="17">
        <v>5.3324767311814701E-2</v>
      </c>
      <c r="W75" s="17"/>
      <c r="X75" s="17">
        <v>4.1132862521177198E-2</v>
      </c>
      <c r="Y75" s="17">
        <v>5.6114428758812902E-2</v>
      </c>
    </row>
    <row r="76" spans="2:25" x14ac:dyDescent="0.35">
      <c r="C76" s="17"/>
      <c r="D76" s="17"/>
      <c r="E76" s="17"/>
      <c r="F76" s="17"/>
      <c r="G76" s="17"/>
      <c r="H76" s="17"/>
      <c r="I76" s="17"/>
      <c r="J76" s="17"/>
      <c r="K76" s="17"/>
      <c r="L76" s="17"/>
      <c r="M76" s="17"/>
      <c r="N76" s="17"/>
      <c r="O76" s="17"/>
      <c r="P76" s="17"/>
      <c r="Q76" s="17"/>
      <c r="R76" s="17"/>
      <c r="S76" s="17"/>
      <c r="T76" s="17"/>
      <c r="U76" s="17"/>
      <c r="V76" s="17"/>
      <c r="W76" s="17"/>
      <c r="X76" s="17"/>
      <c r="Y76" s="17"/>
    </row>
    <row r="77" spans="2:25" x14ac:dyDescent="0.35">
      <c r="B77" s="6" t="s">
        <v>84</v>
      </c>
      <c r="C77" s="17"/>
      <c r="D77" s="17"/>
      <c r="E77" s="17"/>
      <c r="F77" s="17"/>
      <c r="G77" s="17"/>
      <c r="H77" s="17"/>
      <c r="I77" s="17"/>
      <c r="J77" s="17"/>
      <c r="K77" s="17"/>
      <c r="L77" s="17"/>
      <c r="M77" s="17"/>
      <c r="N77" s="17"/>
      <c r="O77" s="17"/>
      <c r="P77" s="17"/>
      <c r="Q77" s="17"/>
      <c r="R77" s="17"/>
      <c r="S77" s="17"/>
      <c r="T77" s="17"/>
      <c r="U77" s="17"/>
      <c r="V77" s="17"/>
      <c r="W77" s="17"/>
      <c r="X77" s="17"/>
      <c r="Y77" s="17"/>
    </row>
    <row r="78" spans="2:25" x14ac:dyDescent="0.35">
      <c r="B78" s="24" t="s">
        <v>50</v>
      </c>
      <c r="C78" s="17"/>
      <c r="D78" s="17"/>
      <c r="E78" s="17"/>
      <c r="F78" s="17"/>
      <c r="G78" s="17"/>
      <c r="H78" s="17"/>
      <c r="I78" s="17"/>
      <c r="J78" s="17"/>
      <c r="K78" s="17"/>
      <c r="L78" s="17"/>
      <c r="M78" s="17"/>
      <c r="N78" s="17"/>
      <c r="O78" s="17"/>
      <c r="P78" s="17"/>
      <c r="Q78" s="17"/>
      <c r="R78" s="17"/>
      <c r="S78" s="17"/>
      <c r="T78" s="17"/>
      <c r="U78" s="17"/>
      <c r="V78" s="17"/>
      <c r="W78" s="17"/>
      <c r="X78" s="17"/>
      <c r="Y78" s="17"/>
    </row>
    <row r="79" spans="2:25" x14ac:dyDescent="0.35">
      <c r="B79" t="s">
        <v>75</v>
      </c>
      <c r="C79" s="17">
        <v>0.12619798362864201</v>
      </c>
      <c r="D79" s="17">
        <v>0.13699299413344701</v>
      </c>
      <c r="E79" s="17">
        <v>0.116540524295835</v>
      </c>
      <c r="F79" s="17"/>
      <c r="G79" s="17">
        <v>0.15341648818237499</v>
      </c>
      <c r="H79" s="17">
        <v>0.14248152625761501</v>
      </c>
      <c r="I79" s="17">
        <v>0.158404763323966</v>
      </c>
      <c r="J79" s="17">
        <v>0.124256500317172</v>
      </c>
      <c r="K79" s="17">
        <v>0.10720702268681501</v>
      </c>
      <c r="L79" s="17">
        <v>9.9596897142719895E-2</v>
      </c>
      <c r="M79" s="17"/>
      <c r="N79" s="17">
        <v>0.26113330091630699</v>
      </c>
      <c r="O79" s="17">
        <v>0.16228895788242301</v>
      </c>
      <c r="P79" s="17">
        <v>0.11685000914638601</v>
      </c>
      <c r="Q79" s="17">
        <v>5.4627045068047997E-2</v>
      </c>
      <c r="R79" s="17">
        <v>3.95350782066059E-2</v>
      </c>
      <c r="S79" s="17">
        <v>0.17027133428394201</v>
      </c>
      <c r="T79" s="17">
        <v>0.158833654273771</v>
      </c>
      <c r="U79" s="17">
        <v>0.13183225765609899</v>
      </c>
      <c r="V79" s="17">
        <v>0.24920893625844101</v>
      </c>
      <c r="W79" s="17"/>
      <c r="X79" s="17">
        <v>0.148694776160125</v>
      </c>
      <c r="Y79" s="17">
        <v>0.11374901170158901</v>
      </c>
    </row>
    <row r="80" spans="2:25" x14ac:dyDescent="0.35">
      <c r="B80" t="s">
        <v>76</v>
      </c>
      <c r="C80" s="17">
        <v>0.470184588002244</v>
      </c>
      <c r="D80" s="17">
        <v>0.472363900655416</v>
      </c>
      <c r="E80" s="17">
        <v>0.46828623701120897</v>
      </c>
      <c r="F80" s="17"/>
      <c r="G80" s="17">
        <v>0.50173545198304903</v>
      </c>
      <c r="H80" s="17">
        <v>0.491437394911097</v>
      </c>
      <c r="I80" s="17">
        <v>0.46462955113633098</v>
      </c>
      <c r="J80" s="17">
        <v>0.47282007707361801</v>
      </c>
      <c r="K80" s="17">
        <v>0.436892717685197</v>
      </c>
      <c r="L80" s="17">
        <v>0.46953738417277902</v>
      </c>
      <c r="M80" s="17"/>
      <c r="N80" s="17">
        <v>0.53133105194937902</v>
      </c>
      <c r="O80" s="17">
        <v>0.70628839274878696</v>
      </c>
      <c r="P80" s="17">
        <v>0.521073576445784</v>
      </c>
      <c r="Q80" s="17">
        <v>0.249294489247356</v>
      </c>
      <c r="R80" s="17">
        <v>0.40695486081891502</v>
      </c>
      <c r="S80" s="17">
        <v>0.54965689489159997</v>
      </c>
      <c r="T80" s="17">
        <v>0.52776225574717295</v>
      </c>
      <c r="U80" s="17">
        <v>0.484017965434689</v>
      </c>
      <c r="V80" s="17">
        <v>0.52361734706310303</v>
      </c>
      <c r="W80" s="17"/>
      <c r="X80" s="17">
        <v>0.49687007951186501</v>
      </c>
      <c r="Y80" s="17">
        <v>0.45541773027361498</v>
      </c>
    </row>
    <row r="81" spans="2:25" x14ac:dyDescent="0.35">
      <c r="B81" t="s">
        <v>77</v>
      </c>
      <c r="C81" s="17">
        <v>0.24243430161900301</v>
      </c>
      <c r="D81" s="17">
        <v>0.237579813579226</v>
      </c>
      <c r="E81" s="17">
        <v>0.246888785149768</v>
      </c>
      <c r="F81" s="17"/>
      <c r="G81" s="17">
        <v>0.21777686404581501</v>
      </c>
      <c r="H81" s="17">
        <v>0.22646518685407499</v>
      </c>
      <c r="I81" s="17">
        <v>0.223526101746269</v>
      </c>
      <c r="J81" s="17">
        <v>0.22668574551873699</v>
      </c>
      <c r="K81" s="17">
        <v>0.27497655048310499</v>
      </c>
      <c r="L81" s="17">
        <v>0.26253449829488001</v>
      </c>
      <c r="M81" s="17"/>
      <c r="N81" s="17">
        <v>0.15127880385859699</v>
      </c>
      <c r="O81" s="17">
        <v>6.9841131496175296E-2</v>
      </c>
      <c r="P81" s="17">
        <v>0.22982026060793201</v>
      </c>
      <c r="Q81" s="17">
        <v>0.292707066571608</v>
      </c>
      <c r="R81" s="17">
        <v>0.33415179898244202</v>
      </c>
      <c r="S81" s="17">
        <v>0.176994264168395</v>
      </c>
      <c r="T81" s="17">
        <v>0.25463120870053002</v>
      </c>
      <c r="U81" s="17">
        <v>0.25973386363206102</v>
      </c>
      <c r="V81" s="17">
        <v>0.14342947334856801</v>
      </c>
      <c r="W81" s="17"/>
      <c r="X81" s="17">
        <v>0.21185613680374399</v>
      </c>
      <c r="Y81" s="17">
        <v>0.25935523445123998</v>
      </c>
    </row>
    <row r="82" spans="2:25" x14ac:dyDescent="0.35">
      <c r="B82" t="s">
        <v>78</v>
      </c>
      <c r="C82" s="17">
        <v>9.4381718154951694E-2</v>
      </c>
      <c r="D82" s="17">
        <v>9.5880112155846395E-2</v>
      </c>
      <c r="E82" s="17">
        <v>9.2161138462356795E-2</v>
      </c>
      <c r="F82" s="17"/>
      <c r="G82" s="17">
        <v>8.0888869936034294E-2</v>
      </c>
      <c r="H82" s="17">
        <v>8.4056433732199107E-2</v>
      </c>
      <c r="I82" s="17">
        <v>8.5664657337945094E-2</v>
      </c>
      <c r="J82" s="17">
        <v>8.7076293743357805E-2</v>
      </c>
      <c r="K82" s="17">
        <v>0.11330858897872099</v>
      </c>
      <c r="L82" s="17">
        <v>0.103641153639613</v>
      </c>
      <c r="M82" s="17"/>
      <c r="N82" s="17">
        <v>2.0853082699579601E-2</v>
      </c>
      <c r="O82" s="17">
        <v>6.8123197787584803E-3</v>
      </c>
      <c r="P82" s="17">
        <v>6.7878725474865995E-2</v>
      </c>
      <c r="Q82" s="17">
        <v>0.27433205520296999</v>
      </c>
      <c r="R82" s="17">
        <v>0.14200817614398301</v>
      </c>
      <c r="S82" s="17">
        <v>3.6260996193456498E-2</v>
      </c>
      <c r="T82" s="17">
        <v>2.2729243182572599E-2</v>
      </c>
      <c r="U82" s="17">
        <v>8.0031382041316504E-2</v>
      </c>
      <c r="V82" s="17">
        <v>3.6601861928543297E-2</v>
      </c>
      <c r="W82" s="17"/>
      <c r="X82" s="17">
        <v>8.8065386918495706E-2</v>
      </c>
      <c r="Y82" s="17">
        <v>9.7876964427706797E-2</v>
      </c>
    </row>
    <row r="83" spans="2:25" x14ac:dyDescent="0.35">
      <c r="B83" t="s">
        <v>79</v>
      </c>
      <c r="C83" s="17">
        <v>3.0624804003537998E-2</v>
      </c>
      <c r="D83" s="17">
        <v>3.65962092480926E-2</v>
      </c>
      <c r="E83" s="17">
        <v>2.5125861978225299E-2</v>
      </c>
      <c r="F83" s="17"/>
      <c r="G83" s="17">
        <v>2.03953546594196E-2</v>
      </c>
      <c r="H83" s="17">
        <v>2.8389952067793201E-2</v>
      </c>
      <c r="I83" s="17">
        <v>3.1836409288090402E-2</v>
      </c>
      <c r="J83" s="17">
        <v>3.71930074024747E-2</v>
      </c>
      <c r="K83" s="17">
        <v>2.8035420486226099E-2</v>
      </c>
      <c r="L83" s="17">
        <v>3.2193478993372701E-2</v>
      </c>
      <c r="M83" s="17"/>
      <c r="N83" s="17">
        <v>0</v>
      </c>
      <c r="O83" s="17">
        <v>1.8046545926898E-2</v>
      </c>
      <c r="P83" s="17">
        <v>2.1846654554526598E-2</v>
      </c>
      <c r="Q83" s="17">
        <v>9.1229263628138796E-2</v>
      </c>
      <c r="R83" s="17">
        <v>4.2102804581472801E-2</v>
      </c>
      <c r="S83" s="17">
        <v>6.9802263444123302E-3</v>
      </c>
      <c r="T83" s="17">
        <v>1.31631543018839E-2</v>
      </c>
      <c r="U83" s="17">
        <v>2.6944405000488302E-2</v>
      </c>
      <c r="V83" s="17">
        <v>7.4444852680853801E-3</v>
      </c>
      <c r="W83" s="17"/>
      <c r="X83" s="17">
        <v>2.7265568139686801E-2</v>
      </c>
      <c r="Y83" s="17">
        <v>3.2483692683198097E-2</v>
      </c>
    </row>
    <row r="84" spans="2:25" x14ac:dyDescent="0.35">
      <c r="B84" t="s">
        <v>80</v>
      </c>
      <c r="C84" s="17">
        <v>3.6176604591620899E-2</v>
      </c>
      <c r="D84" s="17">
        <v>2.0586970227971499E-2</v>
      </c>
      <c r="E84" s="17">
        <v>5.0997453102605901E-2</v>
      </c>
      <c r="F84" s="17"/>
      <c r="G84" s="17">
        <v>2.57869711933073E-2</v>
      </c>
      <c r="H84" s="17">
        <v>2.7169506177221001E-2</v>
      </c>
      <c r="I84" s="17">
        <v>3.5938517167397897E-2</v>
      </c>
      <c r="J84" s="17">
        <v>5.19683759446396E-2</v>
      </c>
      <c r="K84" s="17">
        <v>3.9579699679936103E-2</v>
      </c>
      <c r="L84" s="17">
        <v>3.2496587756635699E-2</v>
      </c>
      <c r="M84" s="17"/>
      <c r="N84" s="17">
        <v>3.5403760576137401E-2</v>
      </c>
      <c r="O84" s="17">
        <v>3.67226521669579E-2</v>
      </c>
      <c r="P84" s="17">
        <v>4.2530773770505501E-2</v>
      </c>
      <c r="Q84" s="17">
        <v>3.7810080281880001E-2</v>
      </c>
      <c r="R84" s="17">
        <v>3.5247281266581498E-2</v>
      </c>
      <c r="S84" s="17">
        <v>5.9836284118194E-2</v>
      </c>
      <c r="T84" s="17">
        <v>2.2880483794069401E-2</v>
      </c>
      <c r="U84" s="17">
        <v>1.74401262353466E-2</v>
      </c>
      <c r="V84" s="17">
        <v>3.9697896133259199E-2</v>
      </c>
      <c r="W84" s="17"/>
      <c r="X84" s="17">
        <v>2.7248052466083601E-2</v>
      </c>
      <c r="Y84" s="17">
        <v>4.1117366462651898E-2</v>
      </c>
    </row>
    <row r="85" spans="2:25" x14ac:dyDescent="0.35">
      <c r="C85" s="17"/>
      <c r="D85" s="17"/>
      <c r="E85" s="17"/>
      <c r="F85" s="17"/>
      <c r="G85" s="17"/>
      <c r="H85" s="17"/>
      <c r="I85" s="17"/>
      <c r="J85" s="17"/>
      <c r="K85" s="17"/>
      <c r="L85" s="17"/>
      <c r="M85" s="17"/>
      <c r="N85" s="17"/>
      <c r="O85" s="17"/>
      <c r="P85" s="17"/>
      <c r="Q85" s="17"/>
      <c r="R85" s="17"/>
      <c r="S85" s="17"/>
      <c r="T85" s="17"/>
      <c r="U85" s="17"/>
      <c r="V85" s="17"/>
      <c r="W85" s="17"/>
      <c r="X85" s="17"/>
      <c r="Y85" s="17"/>
    </row>
    <row r="86" spans="2:25" x14ac:dyDescent="0.35">
      <c r="B86" s="6" t="s">
        <v>93</v>
      </c>
      <c r="C86" s="17"/>
      <c r="D86" s="17"/>
      <c r="E86" s="17"/>
      <c r="F86" s="17"/>
      <c r="G86" s="17"/>
      <c r="H86" s="17"/>
      <c r="I86" s="17"/>
      <c r="J86" s="17"/>
      <c r="K86" s="17"/>
      <c r="L86" s="17"/>
      <c r="M86" s="17"/>
      <c r="N86" s="17"/>
      <c r="O86" s="17"/>
      <c r="P86" s="17"/>
      <c r="Q86" s="17"/>
      <c r="R86" s="17"/>
      <c r="S86" s="17"/>
      <c r="T86" s="17"/>
      <c r="U86" s="17"/>
      <c r="V86" s="17"/>
      <c r="W86" s="17"/>
      <c r="X86" s="17"/>
      <c r="Y86" s="17"/>
    </row>
    <row r="87" spans="2:25" x14ac:dyDescent="0.35">
      <c r="B87" s="24" t="s">
        <v>50</v>
      </c>
      <c r="C87" s="17"/>
      <c r="D87" s="17"/>
      <c r="E87" s="17"/>
      <c r="F87" s="17"/>
      <c r="G87" s="17"/>
      <c r="H87" s="17"/>
      <c r="I87" s="17"/>
      <c r="J87" s="17"/>
      <c r="K87" s="17"/>
      <c r="L87" s="17"/>
      <c r="M87" s="17"/>
      <c r="N87" s="17"/>
      <c r="O87" s="17"/>
      <c r="P87" s="17"/>
      <c r="Q87" s="17"/>
      <c r="R87" s="17"/>
      <c r="S87" s="17"/>
      <c r="T87" s="17"/>
      <c r="U87" s="17"/>
      <c r="V87" s="17"/>
      <c r="W87" s="17"/>
      <c r="X87" s="17"/>
      <c r="Y87" s="17"/>
    </row>
    <row r="88" spans="2:25" x14ac:dyDescent="0.35">
      <c r="B88" t="s">
        <v>85</v>
      </c>
      <c r="C88" s="17">
        <v>7.1569499588923696E-2</v>
      </c>
      <c r="D88" s="17">
        <v>8.4984576387563598E-2</v>
      </c>
      <c r="E88" s="17">
        <v>5.89510085828664E-2</v>
      </c>
      <c r="F88" s="17"/>
      <c r="G88" s="17">
        <v>0.11217066831489</v>
      </c>
      <c r="H88" s="17">
        <v>9.1812972471692497E-2</v>
      </c>
      <c r="I88" s="17">
        <v>8.3454836015513706E-2</v>
      </c>
      <c r="J88" s="17">
        <v>6.4380203558573199E-2</v>
      </c>
      <c r="K88" s="17">
        <v>5.9107857785284601E-2</v>
      </c>
      <c r="L88" s="17">
        <v>4.9967486424355799E-2</v>
      </c>
      <c r="M88" s="17"/>
      <c r="N88" s="17">
        <v>0.10775289193696901</v>
      </c>
      <c r="O88" s="17">
        <v>6.0167725849840099E-2</v>
      </c>
      <c r="P88" s="17">
        <v>9.6737031023214098E-2</v>
      </c>
      <c r="Q88" s="17">
        <v>5.64670702140345E-2</v>
      </c>
      <c r="R88" s="17">
        <v>3.7974693718487398E-2</v>
      </c>
      <c r="S88" s="17">
        <v>9.6470208314511099E-2</v>
      </c>
      <c r="T88" s="17">
        <v>5.56363660724815E-2</v>
      </c>
      <c r="U88" s="17">
        <v>7.6772978694476204E-2</v>
      </c>
      <c r="V88" s="17">
        <v>8.17094329009731E-2</v>
      </c>
      <c r="W88" s="17"/>
      <c r="X88" s="17">
        <v>9.4801051489675894E-2</v>
      </c>
      <c r="Y88" s="17">
        <v>5.8713936422324801E-2</v>
      </c>
    </row>
    <row r="89" spans="2:25" x14ac:dyDescent="0.35">
      <c r="B89" t="s">
        <v>86</v>
      </c>
      <c r="C89" s="17">
        <v>0.38444755748919501</v>
      </c>
      <c r="D89" s="17">
        <v>0.394160367144469</v>
      </c>
      <c r="E89" s="17">
        <v>0.37540934626598199</v>
      </c>
      <c r="F89" s="17"/>
      <c r="G89" s="17">
        <v>0.41806318206738802</v>
      </c>
      <c r="H89" s="17">
        <v>0.40395957502059399</v>
      </c>
      <c r="I89" s="17">
        <v>0.37774650318612102</v>
      </c>
      <c r="J89" s="17">
        <v>0.37062911634698897</v>
      </c>
      <c r="K89" s="17">
        <v>0.35455431879383098</v>
      </c>
      <c r="L89" s="17">
        <v>0.39380432788424002</v>
      </c>
      <c r="M89" s="17"/>
      <c r="N89" s="17">
        <v>0.38752120868796303</v>
      </c>
      <c r="O89" s="17">
        <v>0.60930737852331496</v>
      </c>
      <c r="P89" s="17">
        <v>0.43083651972200698</v>
      </c>
      <c r="Q89" s="17">
        <v>0.397431246255395</v>
      </c>
      <c r="R89" s="17">
        <v>0.419611496037337</v>
      </c>
      <c r="S89" s="17">
        <v>0.40863901257115498</v>
      </c>
      <c r="T89" s="17">
        <v>0.23995386967118901</v>
      </c>
      <c r="U89" s="17">
        <v>0.360210710561782</v>
      </c>
      <c r="V89" s="17">
        <v>0.39691482688768798</v>
      </c>
      <c r="W89" s="17"/>
      <c r="X89" s="17">
        <v>0.41512528386992897</v>
      </c>
      <c r="Y89" s="17">
        <v>0.367471530619359</v>
      </c>
    </row>
    <row r="90" spans="2:25" x14ac:dyDescent="0.35">
      <c r="B90" t="s">
        <v>87</v>
      </c>
      <c r="C90" s="17">
        <v>0.266064462721672</v>
      </c>
      <c r="D90" s="17">
        <v>0.24913496786388201</v>
      </c>
      <c r="E90" s="17">
        <v>0.28249833215834502</v>
      </c>
      <c r="F90" s="17"/>
      <c r="G90" s="17">
        <v>0.24927759963537799</v>
      </c>
      <c r="H90" s="17">
        <v>0.272966071259096</v>
      </c>
      <c r="I90" s="17">
        <v>0.27183898552768698</v>
      </c>
      <c r="J90" s="17">
        <v>0.262157786621943</v>
      </c>
      <c r="K90" s="17">
        <v>0.29331391020785003</v>
      </c>
      <c r="L90" s="17">
        <v>0.24925541467630799</v>
      </c>
      <c r="M90" s="17"/>
      <c r="N90" s="17">
        <v>0.20706499138027001</v>
      </c>
      <c r="O90" s="17">
        <v>0.118092070666436</v>
      </c>
      <c r="P90" s="17">
        <v>0.249146340533906</v>
      </c>
      <c r="Q90" s="17">
        <v>0.26625644910826501</v>
      </c>
      <c r="R90" s="17">
        <v>0.25672480521098601</v>
      </c>
      <c r="S90" s="17">
        <v>0.24488222505267501</v>
      </c>
      <c r="T90" s="17">
        <v>0.393417819539499</v>
      </c>
      <c r="U90" s="17">
        <v>0.21493910612602901</v>
      </c>
      <c r="V90" s="17">
        <v>0.29736926485605403</v>
      </c>
      <c r="W90" s="17"/>
      <c r="X90" s="17">
        <v>0.24163583846642001</v>
      </c>
      <c r="Y90" s="17">
        <v>0.27958244565833201</v>
      </c>
    </row>
    <row r="91" spans="2:25" x14ac:dyDescent="0.35">
      <c r="B91" t="s">
        <v>88</v>
      </c>
      <c r="C91" s="17">
        <v>0.15042832396686101</v>
      </c>
      <c r="D91" s="17">
        <v>0.153109065886957</v>
      </c>
      <c r="E91" s="17">
        <v>0.14709660634569199</v>
      </c>
      <c r="F91" s="17"/>
      <c r="G91" s="17">
        <v>0.14530899343331599</v>
      </c>
      <c r="H91" s="17">
        <v>0.13691107502945499</v>
      </c>
      <c r="I91" s="17">
        <v>0.13823092243318399</v>
      </c>
      <c r="J91" s="17">
        <v>0.15107595607528099</v>
      </c>
      <c r="K91" s="17">
        <v>0.15422347526060601</v>
      </c>
      <c r="L91" s="17">
        <v>0.16521892987011599</v>
      </c>
      <c r="M91" s="17"/>
      <c r="N91" s="17">
        <v>0.149015719904349</v>
      </c>
      <c r="O91" s="17">
        <v>8.4165017007936604E-2</v>
      </c>
      <c r="P91" s="17">
        <v>0.11041151224830099</v>
      </c>
      <c r="Q91" s="17">
        <v>0.17144402964893299</v>
      </c>
      <c r="R91" s="17">
        <v>0.16111965844215501</v>
      </c>
      <c r="S91" s="17">
        <v>0.13817134352699401</v>
      </c>
      <c r="T91" s="17">
        <v>0.15866235291295899</v>
      </c>
      <c r="U91" s="17">
        <v>0.18598764638663401</v>
      </c>
      <c r="V91" s="17">
        <v>0.12606381633609501</v>
      </c>
      <c r="W91" s="17"/>
      <c r="X91" s="17">
        <v>0.14171244530657401</v>
      </c>
      <c r="Y91" s="17">
        <v>0.155251399461276</v>
      </c>
    </row>
    <row r="92" spans="2:25" x14ac:dyDescent="0.35">
      <c r="B92" t="s">
        <v>89</v>
      </c>
      <c r="C92" s="17">
        <v>8.8233377784410899E-2</v>
      </c>
      <c r="D92" s="17">
        <v>9.4359500185116199E-2</v>
      </c>
      <c r="E92" s="17">
        <v>8.2819300504549498E-2</v>
      </c>
      <c r="F92" s="17"/>
      <c r="G92" s="17">
        <v>4.7050562584378203E-2</v>
      </c>
      <c r="H92" s="17">
        <v>6.4801956064012095E-2</v>
      </c>
      <c r="I92" s="17">
        <v>9.7165405136258903E-2</v>
      </c>
      <c r="J92" s="17">
        <v>9.2678307370738802E-2</v>
      </c>
      <c r="K92" s="17">
        <v>8.8079606908586294E-2</v>
      </c>
      <c r="L92" s="17">
        <v>0.108764782075278</v>
      </c>
      <c r="M92" s="17"/>
      <c r="N92" s="17">
        <v>9.9289024281846994E-2</v>
      </c>
      <c r="O92" s="17">
        <v>8.8633968182803599E-2</v>
      </c>
      <c r="P92" s="17">
        <v>6.0998129101106198E-2</v>
      </c>
      <c r="Q92" s="17">
        <v>7.05174514835296E-2</v>
      </c>
      <c r="R92" s="17">
        <v>8.63893015303797E-2</v>
      </c>
      <c r="S92" s="17">
        <v>6.4110551564310905E-2</v>
      </c>
      <c r="T92" s="17">
        <v>0.12050919702571999</v>
      </c>
      <c r="U92" s="17">
        <v>0.14302474752274999</v>
      </c>
      <c r="V92" s="17">
        <v>4.1568156015547697E-2</v>
      </c>
      <c r="W92" s="17"/>
      <c r="X92" s="17">
        <v>8.0112072598402195E-2</v>
      </c>
      <c r="Y92" s="17">
        <v>9.2727436220971099E-2</v>
      </c>
    </row>
    <row r="93" spans="2:25" x14ac:dyDescent="0.35">
      <c r="B93" t="s">
        <v>69</v>
      </c>
      <c r="C93" s="17">
        <v>3.9256778448936699E-2</v>
      </c>
      <c r="D93" s="17">
        <v>2.4251522532012501E-2</v>
      </c>
      <c r="E93" s="17">
        <v>5.3225406142564803E-2</v>
      </c>
      <c r="F93" s="17"/>
      <c r="G93" s="17">
        <v>2.81289939646505E-2</v>
      </c>
      <c r="H93" s="17">
        <v>2.95483501551504E-2</v>
      </c>
      <c r="I93" s="17">
        <v>3.15633477012352E-2</v>
      </c>
      <c r="J93" s="17">
        <v>5.9078630026475197E-2</v>
      </c>
      <c r="K93" s="17">
        <v>5.0720831043842098E-2</v>
      </c>
      <c r="L93" s="17">
        <v>3.2989059069701898E-2</v>
      </c>
      <c r="M93" s="17"/>
      <c r="N93" s="17">
        <v>4.9356163808601701E-2</v>
      </c>
      <c r="O93" s="17">
        <v>3.96338397696692E-2</v>
      </c>
      <c r="P93" s="17">
        <v>5.1870467371465903E-2</v>
      </c>
      <c r="Q93" s="17">
        <v>3.7883753289842698E-2</v>
      </c>
      <c r="R93" s="17">
        <v>3.8180045060654803E-2</v>
      </c>
      <c r="S93" s="17">
        <v>4.7726658970353497E-2</v>
      </c>
      <c r="T93" s="17">
        <v>3.1820394778150601E-2</v>
      </c>
      <c r="U93" s="17">
        <v>1.9064810708329102E-2</v>
      </c>
      <c r="V93" s="17">
        <v>5.6374503003641802E-2</v>
      </c>
      <c r="W93" s="17"/>
      <c r="X93" s="17">
        <v>2.6613308268999401E-2</v>
      </c>
      <c r="Y93" s="17">
        <v>4.62532516177366E-2</v>
      </c>
    </row>
    <row r="94" spans="2:25" x14ac:dyDescent="0.35">
      <c r="B94" t="s">
        <v>90</v>
      </c>
      <c r="C94" s="17">
        <v>0.45601705707811901</v>
      </c>
      <c r="D94" s="17">
        <v>0.47914494353203202</v>
      </c>
      <c r="E94" s="17">
        <v>0.434360354848849</v>
      </c>
      <c r="F94" s="17"/>
      <c r="G94" s="17">
        <v>0.53023385038227699</v>
      </c>
      <c r="H94" s="17">
        <v>0.495772547492287</v>
      </c>
      <c r="I94" s="17">
        <v>0.46120133920163497</v>
      </c>
      <c r="J94" s="17">
        <v>0.43500931990556202</v>
      </c>
      <c r="K94" s="17">
        <v>0.41366217657911603</v>
      </c>
      <c r="L94" s="17">
        <v>0.44377181430859602</v>
      </c>
      <c r="M94" s="17"/>
      <c r="N94" s="17">
        <v>0.49527410062493199</v>
      </c>
      <c r="O94" s="17">
        <v>0.66947510437315505</v>
      </c>
      <c r="P94" s="17">
        <v>0.52757355074522105</v>
      </c>
      <c r="Q94" s="17">
        <v>0.45389831646943002</v>
      </c>
      <c r="R94" s="17">
        <v>0.45758618975582499</v>
      </c>
      <c r="S94" s="17">
        <v>0.50510922088566601</v>
      </c>
      <c r="T94" s="17">
        <v>0.29559023574366999</v>
      </c>
      <c r="U94" s="17">
        <v>0.43698368925625802</v>
      </c>
      <c r="V94" s="17">
        <v>0.47862425978866102</v>
      </c>
      <c r="W94" s="17"/>
      <c r="X94" s="17">
        <v>0.50992633535960497</v>
      </c>
      <c r="Y94" s="17">
        <v>0.42618546704168397</v>
      </c>
    </row>
    <row r="95" spans="2:25" x14ac:dyDescent="0.35">
      <c r="B95" t="s">
        <v>91</v>
      </c>
      <c r="C95" s="17">
        <v>0.23866170175127199</v>
      </c>
      <c r="D95" s="17">
        <v>0.24746856607207299</v>
      </c>
      <c r="E95" s="17">
        <v>0.22991590685024099</v>
      </c>
      <c r="F95" s="17"/>
      <c r="G95" s="17">
        <v>0.192359556017694</v>
      </c>
      <c r="H95" s="17">
        <v>0.201713031093467</v>
      </c>
      <c r="I95" s="17">
        <v>0.23539632756944301</v>
      </c>
      <c r="J95" s="17">
        <v>0.243754263446019</v>
      </c>
      <c r="K95" s="17">
        <v>0.242303082169192</v>
      </c>
      <c r="L95" s="17">
        <v>0.273983711945394</v>
      </c>
      <c r="M95" s="17"/>
      <c r="N95" s="17">
        <v>0.248304744186196</v>
      </c>
      <c r="O95" s="17">
        <v>0.17279898519074</v>
      </c>
      <c r="P95" s="17">
        <v>0.171409641349407</v>
      </c>
      <c r="Q95" s="17">
        <v>0.24196148113246199</v>
      </c>
      <c r="R95" s="17">
        <v>0.247508959972535</v>
      </c>
      <c r="S95" s="17">
        <v>0.20228189509130501</v>
      </c>
      <c r="T95" s="17">
        <v>0.27917154993867999</v>
      </c>
      <c r="U95" s="17">
        <v>0.32901239390938403</v>
      </c>
      <c r="V95" s="17">
        <v>0.16763197235164301</v>
      </c>
      <c r="W95" s="17"/>
      <c r="X95" s="17">
        <v>0.22182451790497601</v>
      </c>
      <c r="Y95" s="17">
        <v>0.24797883568224699</v>
      </c>
    </row>
    <row r="96" spans="2:25" x14ac:dyDescent="0.35">
      <c r="B96" t="s">
        <v>92</v>
      </c>
      <c r="C96" s="17">
        <v>0.21735535532684699</v>
      </c>
      <c r="D96" s="17">
        <v>0.231676377459959</v>
      </c>
      <c r="E96" s="17">
        <v>0.204444447998607</v>
      </c>
      <c r="F96" s="17"/>
      <c r="G96" s="17">
        <v>0.33787429436458399</v>
      </c>
      <c r="H96" s="17">
        <v>0.29405951639882</v>
      </c>
      <c r="I96" s="17">
        <v>0.22580501163219099</v>
      </c>
      <c r="J96" s="17">
        <v>0.19125505645954299</v>
      </c>
      <c r="K96" s="17">
        <v>0.171359094409924</v>
      </c>
      <c r="L96" s="17">
        <v>0.16978810236320199</v>
      </c>
      <c r="M96" s="17"/>
      <c r="N96" s="17">
        <v>0.24696935643873599</v>
      </c>
      <c r="O96" s="17">
        <v>0.496676119182415</v>
      </c>
      <c r="P96" s="17">
        <v>0.35616390939581399</v>
      </c>
      <c r="Q96" s="17">
        <v>0.211936835336967</v>
      </c>
      <c r="R96" s="17">
        <v>0.21007722978328999</v>
      </c>
      <c r="S96" s="17">
        <v>0.302827325794361</v>
      </c>
      <c r="T96" s="17">
        <v>1.6418685804990601E-2</v>
      </c>
      <c r="U96" s="17">
        <v>0.107971295346874</v>
      </c>
      <c r="V96" s="17">
        <v>0.31099228743701801</v>
      </c>
      <c r="W96" s="17"/>
      <c r="X96" s="17">
        <v>0.28810181745462898</v>
      </c>
      <c r="Y96" s="17">
        <v>0.17820663135943701</v>
      </c>
    </row>
    <row r="97" spans="2:25" x14ac:dyDescent="0.35">
      <c r="C97" s="17"/>
      <c r="D97" s="17"/>
      <c r="E97" s="17"/>
      <c r="F97" s="17"/>
      <c r="G97" s="17"/>
      <c r="H97" s="17"/>
      <c r="I97" s="17"/>
      <c r="J97" s="17"/>
      <c r="K97" s="17"/>
      <c r="L97" s="17"/>
      <c r="M97" s="17"/>
      <c r="N97" s="17"/>
      <c r="O97" s="17"/>
      <c r="P97" s="17"/>
      <c r="Q97" s="17"/>
      <c r="R97" s="17"/>
      <c r="S97" s="17"/>
      <c r="T97" s="17"/>
      <c r="U97" s="17"/>
      <c r="V97" s="17"/>
      <c r="W97" s="17"/>
      <c r="X97" s="17"/>
      <c r="Y97" s="17"/>
    </row>
    <row r="98" spans="2:25" x14ac:dyDescent="0.35">
      <c r="B98" s="6" t="s">
        <v>97</v>
      </c>
      <c r="C98" s="17"/>
      <c r="D98" s="17"/>
      <c r="E98" s="17"/>
      <c r="F98" s="17"/>
      <c r="G98" s="17"/>
      <c r="H98" s="17"/>
      <c r="I98" s="17"/>
      <c r="J98" s="17"/>
      <c r="K98" s="17"/>
      <c r="L98" s="17"/>
      <c r="M98" s="17"/>
      <c r="N98" s="17"/>
      <c r="O98" s="17"/>
      <c r="P98" s="17"/>
      <c r="Q98" s="17"/>
      <c r="R98" s="17"/>
      <c r="S98" s="17"/>
      <c r="T98" s="17"/>
      <c r="U98" s="17"/>
      <c r="V98" s="17"/>
      <c r="W98" s="17"/>
      <c r="X98" s="17"/>
      <c r="Y98" s="17"/>
    </row>
    <row r="99" spans="2:25" x14ac:dyDescent="0.35">
      <c r="B99" s="33" t="s">
        <v>50</v>
      </c>
      <c r="C99" s="17"/>
      <c r="D99" s="17"/>
      <c r="E99" s="17"/>
      <c r="F99" s="17"/>
      <c r="G99" s="17"/>
      <c r="H99" s="17"/>
      <c r="I99" s="17"/>
      <c r="J99" s="17"/>
      <c r="K99" s="17"/>
      <c r="L99" s="17"/>
      <c r="M99" s="17"/>
      <c r="N99" s="17"/>
      <c r="O99" s="17"/>
      <c r="P99" s="17"/>
      <c r="Q99" s="17"/>
      <c r="R99" s="17"/>
      <c r="S99" s="17"/>
      <c r="T99" s="17"/>
      <c r="U99" s="17"/>
      <c r="V99" s="17"/>
      <c r="W99" s="17"/>
      <c r="X99" s="17"/>
      <c r="Y99" s="17"/>
    </row>
    <row r="100" spans="2:25" x14ac:dyDescent="0.35">
      <c r="B100" t="s">
        <v>94</v>
      </c>
      <c r="C100" s="17">
        <v>0.34746026704681399</v>
      </c>
      <c r="D100" s="17">
        <v>0.412649439659794</v>
      </c>
      <c r="E100" s="17">
        <v>0.28583867144679298</v>
      </c>
      <c r="F100" s="17"/>
      <c r="G100" s="17">
        <v>0.34984682687561303</v>
      </c>
      <c r="H100" s="17">
        <v>0.36927404860268398</v>
      </c>
      <c r="I100" s="17">
        <v>0.358883175844119</v>
      </c>
      <c r="J100" s="17">
        <v>0.30959264019282201</v>
      </c>
      <c r="K100" s="17">
        <v>0.33267337307831002</v>
      </c>
      <c r="L100" s="17">
        <v>0.36194763762275201</v>
      </c>
      <c r="M100" s="17"/>
      <c r="N100" s="17">
        <v>0.24838173433931299</v>
      </c>
      <c r="O100" s="17">
        <v>0.205083106206989</v>
      </c>
      <c r="P100" s="17">
        <v>0.25242888342812803</v>
      </c>
      <c r="Q100" s="17">
        <v>0.51479854109172296</v>
      </c>
      <c r="R100" s="17">
        <v>0.435803604103224</v>
      </c>
      <c r="S100" s="17">
        <v>0.20634156218507299</v>
      </c>
      <c r="T100" s="17">
        <v>0.433731235075133</v>
      </c>
      <c r="U100" s="17">
        <v>0.338129295217175</v>
      </c>
      <c r="V100" s="17">
        <v>0.23123029911996801</v>
      </c>
      <c r="W100" s="17"/>
      <c r="X100" s="17">
        <v>0.37224720554558999</v>
      </c>
      <c r="Y100" s="17">
        <v>0.33374098773760402</v>
      </c>
    </row>
    <row r="101" spans="2:25" x14ac:dyDescent="0.35">
      <c r="B101" t="s">
        <v>95</v>
      </c>
      <c r="C101" s="17">
        <v>0.45405120131547899</v>
      </c>
      <c r="D101" s="17">
        <v>0.424989219848111</v>
      </c>
      <c r="E101" s="17">
        <v>0.48171436576180199</v>
      </c>
      <c r="F101" s="17"/>
      <c r="G101" s="17">
        <v>0.52055828616716404</v>
      </c>
      <c r="H101" s="17">
        <v>0.46115956808471797</v>
      </c>
      <c r="I101" s="17">
        <v>0.44686505719254099</v>
      </c>
      <c r="J101" s="17">
        <v>0.464968423841505</v>
      </c>
      <c r="K101" s="17">
        <v>0.45762045119210498</v>
      </c>
      <c r="L101" s="17">
        <v>0.41988869360610098</v>
      </c>
      <c r="M101" s="17"/>
      <c r="N101" s="17">
        <v>0.51425818964224201</v>
      </c>
      <c r="O101" s="17">
        <v>0.61141834836458697</v>
      </c>
      <c r="P101" s="17">
        <v>0.52251812750072801</v>
      </c>
      <c r="Q101" s="17">
        <v>0.30630759302259802</v>
      </c>
      <c r="R101" s="17">
        <v>0.42050274371570401</v>
      </c>
      <c r="S101" s="17">
        <v>0.54053884974812805</v>
      </c>
      <c r="T101" s="17">
        <v>0.416774140436798</v>
      </c>
      <c r="U101" s="17">
        <v>0.43593717833838203</v>
      </c>
      <c r="V101" s="17">
        <v>0.54670502212100602</v>
      </c>
      <c r="W101" s="17"/>
      <c r="X101" s="17">
        <v>0.46686840620973002</v>
      </c>
      <c r="Y101" s="17">
        <v>0.446957028958684</v>
      </c>
    </row>
    <row r="102" spans="2:25" x14ac:dyDescent="0.35">
      <c r="B102" t="s">
        <v>96</v>
      </c>
      <c r="C102" s="17">
        <v>0.10818075480196</v>
      </c>
      <c r="D102" s="17">
        <v>0.105492882928164</v>
      </c>
      <c r="E102" s="17">
        <v>0.110850962697095</v>
      </c>
      <c r="F102" s="17"/>
      <c r="G102" s="17">
        <v>8.0977648054901097E-2</v>
      </c>
      <c r="H102" s="17">
        <v>0.10812578278105101</v>
      </c>
      <c r="I102" s="17">
        <v>0.112143954736085</v>
      </c>
      <c r="J102" s="17">
        <v>0.12270498617195801</v>
      </c>
      <c r="K102" s="17">
        <v>0.10904444461857001</v>
      </c>
      <c r="L102" s="17">
        <v>0.105303238307926</v>
      </c>
      <c r="M102" s="17"/>
      <c r="N102" s="17">
        <v>0.121499991824217</v>
      </c>
      <c r="O102" s="17">
        <v>5.4205108225725697E-2</v>
      </c>
      <c r="P102" s="17">
        <v>0.12961636551774799</v>
      </c>
      <c r="Q102" s="17">
        <v>8.6789082715088894E-2</v>
      </c>
      <c r="R102" s="17">
        <v>7.6572357460853793E-2</v>
      </c>
      <c r="S102" s="17">
        <v>0.13877921941737301</v>
      </c>
      <c r="T102" s="17">
        <v>6.3120444084946797E-2</v>
      </c>
      <c r="U102" s="17">
        <v>0.153105530964954</v>
      </c>
      <c r="V102" s="17">
        <v>0.130251105620415</v>
      </c>
      <c r="W102" s="17"/>
      <c r="X102" s="17">
        <v>0.102714183909471</v>
      </c>
      <c r="Y102" s="17">
        <v>0.111206437580063</v>
      </c>
    </row>
    <row r="103" spans="2:25" x14ac:dyDescent="0.35">
      <c r="B103" t="s">
        <v>69</v>
      </c>
      <c r="C103" s="17">
        <v>9.0307776835746395E-2</v>
      </c>
      <c r="D103" s="17">
        <v>5.6868457563929997E-2</v>
      </c>
      <c r="E103" s="17">
        <v>0.121596000094311</v>
      </c>
      <c r="F103" s="17"/>
      <c r="G103" s="17">
        <v>4.8617238902321801E-2</v>
      </c>
      <c r="H103" s="17">
        <v>6.1440600531547103E-2</v>
      </c>
      <c r="I103" s="17">
        <v>8.2107812227254995E-2</v>
      </c>
      <c r="J103" s="17">
        <v>0.102733949793715</v>
      </c>
      <c r="K103" s="17">
        <v>0.10066173111101499</v>
      </c>
      <c r="L103" s="17">
        <v>0.112860430463221</v>
      </c>
      <c r="M103" s="17"/>
      <c r="N103" s="17">
        <v>0.115860084194228</v>
      </c>
      <c r="O103" s="17">
        <v>0.12929343720269801</v>
      </c>
      <c r="P103" s="17">
        <v>9.5436623553396396E-2</v>
      </c>
      <c r="Q103" s="17">
        <v>9.2104783170590399E-2</v>
      </c>
      <c r="R103" s="17">
        <v>6.7121294720219105E-2</v>
      </c>
      <c r="S103" s="17">
        <v>0.114340368649426</v>
      </c>
      <c r="T103" s="17">
        <v>8.63741804031221E-2</v>
      </c>
      <c r="U103" s="17">
        <v>7.2827995479489704E-2</v>
      </c>
      <c r="V103" s="17">
        <v>9.1813573138610396E-2</v>
      </c>
      <c r="W103" s="17"/>
      <c r="X103" s="17">
        <v>5.8170204335208503E-2</v>
      </c>
      <c r="Y103" s="17">
        <v>0.108095545723648</v>
      </c>
    </row>
    <row r="104" spans="2:25" x14ac:dyDescent="0.35">
      <c r="C104" s="17"/>
      <c r="D104" s="17"/>
      <c r="E104" s="17"/>
      <c r="F104" s="17"/>
      <c r="G104" s="17"/>
      <c r="H104" s="17"/>
      <c r="I104" s="17"/>
      <c r="J104" s="17"/>
      <c r="K104" s="17"/>
      <c r="L104" s="17"/>
      <c r="M104" s="17"/>
      <c r="N104" s="17"/>
      <c r="O104" s="17"/>
      <c r="P104" s="17"/>
      <c r="Q104" s="17"/>
      <c r="R104" s="17"/>
      <c r="S104" s="17"/>
      <c r="T104" s="17"/>
      <c r="U104" s="17"/>
      <c r="V104" s="17"/>
      <c r="W104" s="17"/>
      <c r="X104" s="17"/>
      <c r="Y104" s="17"/>
    </row>
    <row r="105" spans="2:25" x14ac:dyDescent="0.35">
      <c r="B105" s="6" t="s">
        <v>107</v>
      </c>
      <c r="C105" s="17"/>
      <c r="D105" s="17"/>
      <c r="E105" s="17"/>
      <c r="F105" s="17"/>
      <c r="G105" s="17"/>
      <c r="H105" s="17"/>
      <c r="I105" s="17"/>
      <c r="J105" s="17"/>
      <c r="K105" s="17"/>
      <c r="L105" s="17"/>
      <c r="M105" s="17"/>
      <c r="N105" s="17"/>
      <c r="O105" s="17"/>
      <c r="P105" s="17"/>
      <c r="Q105" s="17"/>
      <c r="R105" s="17"/>
      <c r="S105" s="17"/>
      <c r="T105" s="17"/>
      <c r="U105" s="17"/>
      <c r="V105" s="17"/>
      <c r="W105" s="17"/>
      <c r="X105" s="17"/>
      <c r="Y105" s="17"/>
    </row>
    <row r="106" spans="2:25" x14ac:dyDescent="0.35">
      <c r="B106" s="24" t="s">
        <v>50</v>
      </c>
      <c r="C106" s="17"/>
      <c r="D106" s="17"/>
      <c r="E106" s="17"/>
      <c r="F106" s="17"/>
      <c r="G106" s="17"/>
      <c r="H106" s="17"/>
      <c r="I106" s="17"/>
      <c r="J106" s="17"/>
      <c r="K106" s="17"/>
      <c r="L106" s="17"/>
      <c r="M106" s="17"/>
      <c r="N106" s="17"/>
      <c r="O106" s="17"/>
      <c r="P106" s="17"/>
      <c r="Q106" s="17"/>
      <c r="R106" s="17"/>
      <c r="S106" s="17"/>
      <c r="T106" s="17"/>
      <c r="U106" s="17"/>
      <c r="V106" s="17"/>
      <c r="W106" s="17"/>
      <c r="X106" s="17"/>
      <c r="Y106" s="17"/>
    </row>
    <row r="107" spans="2:25" x14ac:dyDescent="0.35">
      <c r="B107" t="s">
        <v>99</v>
      </c>
      <c r="C107" s="17">
        <v>0.92227511084595803</v>
      </c>
      <c r="D107" s="17">
        <v>0.91996483011241104</v>
      </c>
      <c r="E107" s="17">
        <v>0.92479168958581703</v>
      </c>
      <c r="F107" s="17"/>
      <c r="G107" s="17">
        <v>0.95166419172629302</v>
      </c>
      <c r="H107" s="17">
        <v>0.95047562761919802</v>
      </c>
      <c r="I107" s="17">
        <v>0.93833059598488899</v>
      </c>
      <c r="J107" s="17">
        <v>0.939698448060865</v>
      </c>
      <c r="K107" s="17">
        <v>0.91676894629222905</v>
      </c>
      <c r="L107" s="17">
        <v>0.87606298798638504</v>
      </c>
      <c r="M107" s="17"/>
      <c r="N107" s="17">
        <v>0.92472435322701896</v>
      </c>
      <c r="O107" s="17">
        <v>0.95264204248303297</v>
      </c>
      <c r="P107" s="17">
        <v>0.90618154645603999</v>
      </c>
      <c r="Q107" s="17">
        <v>0.88620471981223103</v>
      </c>
      <c r="R107" s="17">
        <v>0.96278836557813596</v>
      </c>
      <c r="S107" s="17">
        <v>0.90492741445710101</v>
      </c>
      <c r="T107" s="17">
        <v>0.94146466220851399</v>
      </c>
      <c r="U107" s="17">
        <v>0.92624726290845605</v>
      </c>
      <c r="V107" s="17">
        <v>0.92001620424883201</v>
      </c>
      <c r="W107" s="17"/>
      <c r="X107" s="17">
        <v>0.93091339839541498</v>
      </c>
      <c r="Y107" s="17">
        <v>0.91749497167498395</v>
      </c>
    </row>
    <row r="108" spans="2:25" x14ac:dyDescent="0.35">
      <c r="B108" t="s">
        <v>100</v>
      </c>
      <c r="C108" s="17">
        <v>0.89348161257509395</v>
      </c>
      <c r="D108" s="17">
        <v>0.90834712347472601</v>
      </c>
      <c r="E108" s="17">
        <v>0.87932271466212197</v>
      </c>
      <c r="F108" s="17"/>
      <c r="G108" s="17">
        <v>0.85441284584527699</v>
      </c>
      <c r="H108" s="17">
        <v>0.88104781140284005</v>
      </c>
      <c r="I108" s="17">
        <v>0.85341026146370502</v>
      </c>
      <c r="J108" s="17">
        <v>0.88246195415276996</v>
      </c>
      <c r="K108" s="17">
        <v>0.91845287904974904</v>
      </c>
      <c r="L108" s="17">
        <v>0.93217912642982204</v>
      </c>
      <c r="M108" s="17"/>
      <c r="N108" s="17">
        <v>0.88148733584067296</v>
      </c>
      <c r="O108" s="17">
        <v>0.85325250020902399</v>
      </c>
      <c r="P108" s="17">
        <v>0.89991189783158498</v>
      </c>
      <c r="Q108" s="17">
        <v>0.89121316792810001</v>
      </c>
      <c r="R108" s="17">
        <v>0.89654477263194399</v>
      </c>
      <c r="S108" s="17">
        <v>0.88134372853194398</v>
      </c>
      <c r="T108" s="17">
        <v>0.91658112447140505</v>
      </c>
      <c r="U108" s="17">
        <v>0.88898079612845404</v>
      </c>
      <c r="V108" s="17">
        <v>0.88556912541058996</v>
      </c>
      <c r="W108" s="17"/>
      <c r="X108" s="17">
        <v>0.92542068394170496</v>
      </c>
      <c r="Y108" s="17">
        <v>0.87580759961246102</v>
      </c>
    </row>
    <row r="109" spans="2:25" x14ac:dyDescent="0.35">
      <c r="B109" t="s">
        <v>101</v>
      </c>
      <c r="C109" s="17">
        <v>0.49404024891062598</v>
      </c>
      <c r="D109" s="17">
        <v>0.498263206673071</v>
      </c>
      <c r="E109" s="17">
        <v>0.489996783464067</v>
      </c>
      <c r="F109" s="17"/>
      <c r="G109" s="17">
        <v>0.39165258850936202</v>
      </c>
      <c r="H109" s="17">
        <v>0.52094721870353</v>
      </c>
      <c r="I109" s="17">
        <v>0.55498536190701697</v>
      </c>
      <c r="J109" s="17">
        <v>0.52767177669815701</v>
      </c>
      <c r="K109" s="17">
        <v>0.49477574416973802</v>
      </c>
      <c r="L109" s="17">
        <v>0.45365536542589202</v>
      </c>
      <c r="M109" s="17"/>
      <c r="N109" s="17">
        <v>0.47377655059245899</v>
      </c>
      <c r="O109" s="17">
        <v>0.41330666536413602</v>
      </c>
      <c r="P109" s="17">
        <v>0.46100901766083802</v>
      </c>
      <c r="Q109" s="17">
        <v>0.49233666862673903</v>
      </c>
      <c r="R109" s="17">
        <v>0.50601219440844003</v>
      </c>
      <c r="S109" s="17">
        <v>0.53265918624156405</v>
      </c>
      <c r="T109" s="17">
        <v>0.42543511865288097</v>
      </c>
      <c r="U109" s="17">
        <v>0.57258648220564201</v>
      </c>
      <c r="V109" s="17">
        <v>0.47975052010107899</v>
      </c>
      <c r="W109" s="17"/>
      <c r="X109" s="17">
        <v>0.552723059759333</v>
      </c>
      <c r="Y109" s="17">
        <v>0.46156714574119501</v>
      </c>
    </row>
    <row r="110" spans="2:25" x14ac:dyDescent="0.35">
      <c r="B110" t="s">
        <v>102</v>
      </c>
      <c r="C110" s="17">
        <v>0.31717858562872697</v>
      </c>
      <c r="D110" s="17">
        <v>0.37925896586873498</v>
      </c>
      <c r="E110" s="17">
        <v>0.257521370959305</v>
      </c>
      <c r="F110" s="17"/>
      <c r="G110" s="17">
        <v>0.56369989014616195</v>
      </c>
      <c r="H110" s="17">
        <v>0.55439525739847395</v>
      </c>
      <c r="I110" s="17">
        <v>0.49362050846987199</v>
      </c>
      <c r="J110" s="17">
        <v>0.35371740928780998</v>
      </c>
      <c r="K110" s="17">
        <v>0.15946160995436001</v>
      </c>
      <c r="L110" s="17">
        <v>5.0672235944265703E-2</v>
      </c>
      <c r="M110" s="17"/>
      <c r="N110" s="17">
        <v>0.18865115076509201</v>
      </c>
      <c r="O110" s="17">
        <v>0.244889151509077</v>
      </c>
      <c r="P110" s="17">
        <v>0.32865895269067402</v>
      </c>
      <c r="Q110" s="17">
        <v>0.30987106780777901</v>
      </c>
      <c r="R110" s="17">
        <v>0.32057959732549901</v>
      </c>
      <c r="S110" s="17">
        <v>0.248201683984939</v>
      </c>
      <c r="T110" s="17">
        <v>0.35034146033020203</v>
      </c>
      <c r="U110" s="17">
        <v>0.39969282957135699</v>
      </c>
      <c r="V110" s="17">
        <v>0.28389027701297997</v>
      </c>
      <c r="W110" s="17"/>
      <c r="X110" s="17">
        <v>0.36086644355491398</v>
      </c>
      <c r="Y110" s="17">
        <v>0.293003187464074</v>
      </c>
    </row>
    <row r="111" spans="2:25" x14ac:dyDescent="0.35">
      <c r="B111" t="s">
        <v>103</v>
      </c>
      <c r="C111" s="17">
        <v>0.26752550139949299</v>
      </c>
      <c r="D111" s="17">
        <v>0.27727836309091197</v>
      </c>
      <c r="E111" s="17">
        <v>0.25774657961479802</v>
      </c>
      <c r="F111" s="17"/>
      <c r="G111" s="17">
        <v>0.32575947950470002</v>
      </c>
      <c r="H111" s="17">
        <v>0.4092758208217</v>
      </c>
      <c r="I111" s="17">
        <v>0.33405359184965799</v>
      </c>
      <c r="J111" s="17">
        <v>0.27324571737338799</v>
      </c>
      <c r="K111" s="17">
        <v>0.19274207173612401</v>
      </c>
      <c r="L111" s="17">
        <v>0.16458023209186701</v>
      </c>
      <c r="M111" s="17"/>
      <c r="N111" s="17">
        <v>0.24399093624554299</v>
      </c>
      <c r="O111" s="17">
        <v>0.225489853766668</v>
      </c>
      <c r="P111" s="17">
        <v>0.20410004574030399</v>
      </c>
      <c r="Q111" s="17">
        <v>0.24104837313815</v>
      </c>
      <c r="R111" s="17">
        <v>0.28153073490254399</v>
      </c>
      <c r="S111" s="17">
        <v>0.23727349362453101</v>
      </c>
      <c r="T111" s="17">
        <v>0.32161532281960598</v>
      </c>
      <c r="U111" s="17">
        <v>0.36162316263113498</v>
      </c>
      <c r="V111" s="17">
        <v>0.19476825222934499</v>
      </c>
      <c r="W111" s="17"/>
      <c r="X111" s="17">
        <v>0.32832865649704102</v>
      </c>
      <c r="Y111" s="17">
        <v>0.233879070699367</v>
      </c>
    </row>
    <row r="112" spans="2:25" x14ac:dyDescent="0.35">
      <c r="B112" t="s">
        <v>104</v>
      </c>
      <c r="C112" s="17">
        <v>0.21738332665972099</v>
      </c>
      <c r="D112" s="17">
        <v>0.24665274350097</v>
      </c>
      <c r="E112" s="17">
        <v>0.189232254850009</v>
      </c>
      <c r="F112" s="17"/>
      <c r="G112" s="17">
        <v>0.26183746604688701</v>
      </c>
      <c r="H112" s="17">
        <v>0.29083430665173199</v>
      </c>
      <c r="I112" s="17">
        <v>0.29361476123591201</v>
      </c>
      <c r="J112" s="17">
        <v>0.21569048900202001</v>
      </c>
      <c r="K112" s="17">
        <v>0.19187255023989699</v>
      </c>
      <c r="L112" s="17">
        <v>0.12640761314333601</v>
      </c>
      <c r="M112" s="17"/>
      <c r="N112" s="17">
        <v>0.202201798460864</v>
      </c>
      <c r="O112" s="17">
        <v>5.9198911524500901E-2</v>
      </c>
      <c r="P112" s="17">
        <v>0.21229178473541899</v>
      </c>
      <c r="Q112" s="17">
        <v>0.22614073853546701</v>
      </c>
      <c r="R112" s="17">
        <v>0.30363550317412902</v>
      </c>
      <c r="S112" s="17">
        <v>0.15056540365097801</v>
      </c>
      <c r="T112" s="17">
        <v>0.123784499300166</v>
      </c>
      <c r="U112" s="17">
        <v>0.333065425438547</v>
      </c>
      <c r="V112" s="17">
        <v>0.19128245309077199</v>
      </c>
      <c r="W112" s="17"/>
      <c r="X112" s="17">
        <v>0.27004450769423799</v>
      </c>
      <c r="Y112" s="17">
        <v>0.188242391860828</v>
      </c>
    </row>
    <row r="113" spans="2:25" x14ac:dyDescent="0.35">
      <c r="B113" t="s">
        <v>105</v>
      </c>
      <c r="C113" s="17">
        <v>4.1268842190583903E-2</v>
      </c>
      <c r="D113" s="17">
        <v>5.22518930908158E-2</v>
      </c>
      <c r="E113" s="17">
        <v>3.08382007824251E-2</v>
      </c>
      <c r="F113" s="17"/>
      <c r="G113" s="17">
        <v>6.4496491602083997E-2</v>
      </c>
      <c r="H113" s="17">
        <v>8.3256143615193803E-2</v>
      </c>
      <c r="I113" s="17">
        <v>6.1249312293390597E-2</v>
      </c>
      <c r="J113" s="17">
        <v>4.37997025223891E-2</v>
      </c>
      <c r="K113" s="17">
        <v>1.9151709399939602E-2</v>
      </c>
      <c r="L113" s="17">
        <v>7.7808345721662496E-3</v>
      </c>
      <c r="M113" s="17"/>
      <c r="N113" s="17">
        <v>5.3013364994215703E-2</v>
      </c>
      <c r="O113" s="17">
        <v>7.2288334685751202E-3</v>
      </c>
      <c r="P113" s="17">
        <v>3.51304737017391E-2</v>
      </c>
      <c r="Q113" s="17">
        <v>3.5553201762329699E-2</v>
      </c>
      <c r="R113" s="17">
        <v>3.3913294536751099E-2</v>
      </c>
      <c r="S113" s="17">
        <v>5.6747402729466399E-2</v>
      </c>
      <c r="T113" s="17">
        <v>4.1051695497864298E-2</v>
      </c>
      <c r="U113" s="17">
        <v>4.6502598130256E-2</v>
      </c>
      <c r="V113" s="17">
        <v>4.8659019818439002E-2</v>
      </c>
      <c r="W113" s="17"/>
      <c r="X113" s="17">
        <v>6.7261439922494698E-2</v>
      </c>
      <c r="Y113" s="17">
        <v>2.6885408684544299E-2</v>
      </c>
    </row>
    <row r="114" spans="2:25" x14ac:dyDescent="0.35">
      <c r="B114" t="s">
        <v>106</v>
      </c>
      <c r="C114" s="17">
        <v>1.2940824934316499E-2</v>
      </c>
      <c r="D114" s="17">
        <v>1.44496615965826E-2</v>
      </c>
      <c r="E114" s="17">
        <v>1.1572186760117001E-2</v>
      </c>
      <c r="F114" s="17"/>
      <c r="G114" s="17">
        <v>1.7050106801583201E-2</v>
      </c>
      <c r="H114" s="17">
        <v>9.1742489571224398E-3</v>
      </c>
      <c r="I114" s="17">
        <v>6.0088460749929701E-3</v>
      </c>
      <c r="J114" s="17">
        <v>1.16657324076223E-2</v>
      </c>
      <c r="K114" s="17">
        <v>1.41347709306472E-2</v>
      </c>
      <c r="L114" s="17">
        <v>1.8173316869194499E-2</v>
      </c>
      <c r="M114" s="17"/>
      <c r="N114" s="17">
        <v>3.2986748044930098E-2</v>
      </c>
      <c r="O114" s="17">
        <v>3.2101224728455502E-2</v>
      </c>
      <c r="P114" s="17">
        <v>9.7758010886224295E-3</v>
      </c>
      <c r="Q114" s="17">
        <v>1.30322368275347E-2</v>
      </c>
      <c r="R114" s="17">
        <v>1.44571524023178E-2</v>
      </c>
      <c r="S114" s="17">
        <v>1.2936571712374501E-2</v>
      </c>
      <c r="T114" s="17">
        <v>1.04117213902965E-2</v>
      </c>
      <c r="U114" s="17">
        <v>1.2262759293225E-2</v>
      </c>
      <c r="V114" s="17">
        <v>5.0081984246744303E-3</v>
      </c>
      <c r="W114" s="17"/>
      <c r="X114" s="17">
        <v>1.4285199246580499E-2</v>
      </c>
      <c r="Y114" s="17">
        <v>1.21968931916288E-2</v>
      </c>
    </row>
    <row r="115" spans="2:25" x14ac:dyDescent="0.35">
      <c r="B115" t="s">
        <v>48</v>
      </c>
      <c r="C115" s="17">
        <v>4.7766975689133599E-3</v>
      </c>
      <c r="D115" s="17">
        <v>5.53678766283589E-3</v>
      </c>
      <c r="E115" s="17">
        <v>4.0802618318989499E-3</v>
      </c>
      <c r="F115" s="17"/>
      <c r="G115" s="17">
        <v>2.1628294781985799E-3</v>
      </c>
      <c r="H115" s="17">
        <v>3.34314944154344E-3</v>
      </c>
      <c r="I115" s="17">
        <v>9.6527094803800992E-3</v>
      </c>
      <c r="J115" s="17">
        <v>6.6797441551763202E-3</v>
      </c>
      <c r="K115" s="17">
        <v>3.8549331355858499E-3</v>
      </c>
      <c r="L115" s="17">
        <v>2.7766263565599898E-3</v>
      </c>
      <c r="M115" s="17"/>
      <c r="N115" s="17">
        <v>0</v>
      </c>
      <c r="O115" s="17">
        <v>0</v>
      </c>
      <c r="P115" s="17">
        <v>9.7251325226773901E-3</v>
      </c>
      <c r="Q115" s="17">
        <v>5.7979386443295601E-3</v>
      </c>
      <c r="R115" s="17">
        <v>7.8713781966165098E-4</v>
      </c>
      <c r="S115" s="17">
        <v>6.3991778121939196E-3</v>
      </c>
      <c r="T115" s="17">
        <v>1.63096585660231E-3</v>
      </c>
      <c r="U115" s="17">
        <v>5.4990131934240898E-3</v>
      </c>
      <c r="V115" s="17">
        <v>6.7022700164194298E-3</v>
      </c>
      <c r="W115" s="17"/>
      <c r="X115" s="17">
        <v>4.6301395553668499E-3</v>
      </c>
      <c r="Y115" s="17">
        <v>4.8577978677124796E-3</v>
      </c>
    </row>
    <row r="116" spans="2:25" x14ac:dyDescent="0.35">
      <c r="C116" s="17"/>
      <c r="D116" s="17"/>
      <c r="E116" s="17"/>
      <c r="F116" s="17"/>
      <c r="G116" s="17"/>
      <c r="H116" s="17"/>
      <c r="I116" s="17"/>
      <c r="J116" s="17"/>
      <c r="K116" s="17"/>
      <c r="L116" s="17"/>
      <c r="M116" s="17"/>
      <c r="N116" s="17"/>
      <c r="O116" s="17"/>
      <c r="P116" s="17"/>
      <c r="Q116" s="17"/>
      <c r="R116" s="17"/>
      <c r="S116" s="17"/>
      <c r="T116" s="17"/>
      <c r="U116" s="17"/>
      <c r="V116" s="17"/>
      <c r="W116" s="17"/>
      <c r="X116" s="17"/>
      <c r="Y116" s="17"/>
    </row>
    <row r="117" spans="2:25" x14ac:dyDescent="0.35">
      <c r="B117" s="6" t="s">
        <v>111</v>
      </c>
      <c r="C117" s="17"/>
      <c r="D117" s="17"/>
      <c r="E117" s="17"/>
      <c r="F117" s="17"/>
      <c r="G117" s="17"/>
      <c r="H117" s="17"/>
      <c r="I117" s="17"/>
      <c r="J117" s="17"/>
      <c r="K117" s="17"/>
      <c r="L117" s="17"/>
      <c r="M117" s="17"/>
      <c r="N117" s="17"/>
      <c r="O117" s="17"/>
      <c r="P117" s="17"/>
      <c r="Q117" s="17"/>
      <c r="R117" s="17"/>
      <c r="S117" s="17"/>
      <c r="T117" s="17"/>
      <c r="U117" s="17"/>
      <c r="V117" s="17"/>
      <c r="W117" s="17"/>
      <c r="X117" s="17"/>
      <c r="Y117" s="17"/>
    </row>
    <row r="118" spans="2:25" x14ac:dyDescent="0.35">
      <c r="B118" s="24" t="s">
        <v>50</v>
      </c>
      <c r="C118" s="17"/>
      <c r="D118" s="17"/>
      <c r="E118" s="17"/>
      <c r="F118" s="17"/>
      <c r="G118" s="17"/>
      <c r="H118" s="17"/>
      <c r="I118" s="17"/>
      <c r="J118" s="17"/>
      <c r="K118" s="17"/>
      <c r="L118" s="17"/>
      <c r="M118" s="17"/>
      <c r="N118" s="17"/>
      <c r="O118" s="17"/>
      <c r="P118" s="17"/>
      <c r="Q118" s="17"/>
      <c r="R118" s="17"/>
      <c r="S118" s="17"/>
      <c r="T118" s="17"/>
      <c r="U118" s="17"/>
      <c r="V118" s="17"/>
      <c r="W118" s="17"/>
      <c r="X118" s="17"/>
      <c r="Y118" s="17"/>
    </row>
    <row r="119" spans="2:25" x14ac:dyDescent="0.35">
      <c r="B119" t="s">
        <v>108</v>
      </c>
      <c r="C119" s="17">
        <v>0.25529524557344602</v>
      </c>
      <c r="D119" s="17">
        <v>0.33455294448849199</v>
      </c>
      <c r="E119" s="17">
        <v>0.17970403002145299</v>
      </c>
      <c r="F119" s="17"/>
      <c r="G119" s="17">
        <v>0.45696827006359902</v>
      </c>
      <c r="H119" s="17">
        <v>0.42578487305788898</v>
      </c>
      <c r="I119" s="17">
        <v>0.34211389272009202</v>
      </c>
      <c r="J119" s="17">
        <v>0.23889813652560701</v>
      </c>
      <c r="K119" s="17">
        <v>0.14647891667471799</v>
      </c>
      <c r="L119" s="17">
        <v>0.106455898279357</v>
      </c>
      <c r="M119" s="17"/>
      <c r="N119" s="17">
        <v>0.23744547060896001</v>
      </c>
      <c r="O119" s="17">
        <v>0.161302182682351</v>
      </c>
      <c r="P119" s="17">
        <v>0.21158272024063099</v>
      </c>
      <c r="Q119" s="17">
        <v>0.20775777097533099</v>
      </c>
      <c r="R119" s="17">
        <v>0.178205877130312</v>
      </c>
      <c r="S119" s="17">
        <v>0.182329519587031</v>
      </c>
      <c r="T119" s="17">
        <v>0.47008772266149101</v>
      </c>
      <c r="U119" s="17">
        <v>0.30033911434709498</v>
      </c>
      <c r="V119" s="17">
        <v>0.26322025595870702</v>
      </c>
      <c r="W119" s="17"/>
      <c r="X119" s="17">
        <v>0.33489565419260803</v>
      </c>
      <c r="Y119" s="17">
        <v>0.21124704399559099</v>
      </c>
    </row>
    <row r="120" spans="2:25" x14ac:dyDescent="0.35">
      <c r="B120" t="s">
        <v>109</v>
      </c>
      <c r="C120" s="17">
        <v>0.44867756413771298</v>
      </c>
      <c r="D120" s="17">
        <v>0.43025303802484199</v>
      </c>
      <c r="E120" s="17">
        <v>0.46662477715741002</v>
      </c>
      <c r="F120" s="17"/>
      <c r="G120" s="17">
        <v>0.397395750629286</v>
      </c>
      <c r="H120" s="17">
        <v>0.43682962282885102</v>
      </c>
      <c r="I120" s="17">
        <v>0.44490552168069503</v>
      </c>
      <c r="J120" s="17">
        <v>0.47471569153398702</v>
      </c>
      <c r="K120" s="17">
        <v>0.47649277270261198</v>
      </c>
      <c r="L120" s="17">
        <v>0.44109367601175498</v>
      </c>
      <c r="M120" s="17"/>
      <c r="N120" s="17">
        <v>0.47341334755579401</v>
      </c>
      <c r="O120" s="17">
        <v>0.50712095943457203</v>
      </c>
      <c r="P120" s="17">
        <v>0.43274786091259998</v>
      </c>
      <c r="Q120" s="17">
        <v>0.42390042477099699</v>
      </c>
      <c r="R120" s="17">
        <v>0.52104345010942998</v>
      </c>
      <c r="S120" s="17">
        <v>0.37949782411066202</v>
      </c>
      <c r="T120" s="17">
        <v>0.44745332226662399</v>
      </c>
      <c r="U120" s="17">
        <v>0.45757524698801399</v>
      </c>
      <c r="V120" s="17">
        <v>0.48106292125281103</v>
      </c>
      <c r="W120" s="17"/>
      <c r="X120" s="17">
        <v>0.45613914096744002</v>
      </c>
      <c r="Y120" s="17">
        <v>0.44454857728970598</v>
      </c>
    </row>
    <row r="121" spans="2:25" x14ac:dyDescent="0.35">
      <c r="B121" t="s">
        <v>110</v>
      </c>
      <c r="C121" s="17">
        <v>0.28117416733131501</v>
      </c>
      <c r="D121" s="17">
        <v>0.223727657559744</v>
      </c>
      <c r="E121" s="17">
        <v>0.33557053022760702</v>
      </c>
      <c r="F121" s="17"/>
      <c r="G121" s="17">
        <v>0.12878058602040199</v>
      </c>
      <c r="H121" s="17">
        <v>0.12297169984532</v>
      </c>
      <c r="I121" s="17">
        <v>0.19931077815832299</v>
      </c>
      <c r="J121" s="17">
        <v>0.266314124785555</v>
      </c>
      <c r="K121" s="17">
        <v>0.36487339459565399</v>
      </c>
      <c r="L121" s="17">
        <v>0.43911405911191298</v>
      </c>
      <c r="M121" s="17"/>
      <c r="N121" s="17">
        <v>0.26646167888408401</v>
      </c>
      <c r="O121" s="17">
        <v>0.29545568019782598</v>
      </c>
      <c r="P121" s="17">
        <v>0.33859389764739201</v>
      </c>
      <c r="Q121" s="17">
        <v>0.35275868947983802</v>
      </c>
      <c r="R121" s="17">
        <v>0.28726073330532098</v>
      </c>
      <c r="S121" s="17">
        <v>0.42682173713962601</v>
      </c>
      <c r="T121" s="17">
        <v>6.8722030067165402E-2</v>
      </c>
      <c r="U121" s="17">
        <v>0.22691607479359599</v>
      </c>
      <c r="V121" s="17">
        <v>0.248624006606984</v>
      </c>
      <c r="W121" s="17"/>
      <c r="X121" s="17">
        <v>0.19969438921081301</v>
      </c>
      <c r="Y121" s="17">
        <v>0.32626234908100998</v>
      </c>
    </row>
    <row r="122" spans="2:25" x14ac:dyDescent="0.35">
      <c r="B122" t="s">
        <v>69</v>
      </c>
      <c r="C122" s="17">
        <v>1.4853022957526101E-2</v>
      </c>
      <c r="D122" s="17">
        <v>1.14663599269226E-2</v>
      </c>
      <c r="E122" s="17">
        <v>1.8100662593529899E-2</v>
      </c>
      <c r="F122" s="17"/>
      <c r="G122" s="17">
        <v>1.6855393286713299E-2</v>
      </c>
      <c r="H122" s="17">
        <v>1.44138042679393E-2</v>
      </c>
      <c r="I122" s="17">
        <v>1.3669807440889799E-2</v>
      </c>
      <c r="J122" s="17">
        <v>2.0072047154850701E-2</v>
      </c>
      <c r="K122" s="17">
        <v>1.2154916027015499E-2</v>
      </c>
      <c r="L122" s="17">
        <v>1.33363665969757E-2</v>
      </c>
      <c r="M122" s="17"/>
      <c r="N122" s="17">
        <v>2.26795029511624E-2</v>
      </c>
      <c r="O122" s="17">
        <v>3.6121177685251298E-2</v>
      </c>
      <c r="P122" s="17">
        <v>1.70755211993768E-2</v>
      </c>
      <c r="Q122" s="17">
        <v>1.55831147738331E-2</v>
      </c>
      <c r="R122" s="17">
        <v>1.34899394549372E-2</v>
      </c>
      <c r="S122" s="17">
        <v>1.13509191626811E-2</v>
      </c>
      <c r="T122" s="17">
        <v>1.3736925004719401E-2</v>
      </c>
      <c r="U122" s="17">
        <v>1.5169563871295399E-2</v>
      </c>
      <c r="V122" s="17">
        <v>7.0928161814977596E-3</v>
      </c>
      <c r="W122" s="17"/>
      <c r="X122" s="17">
        <v>9.2708156291388608E-3</v>
      </c>
      <c r="Y122" s="17">
        <v>1.7942029633692701E-2</v>
      </c>
    </row>
    <row r="123" spans="2:25" x14ac:dyDescent="0.35">
      <c r="C123" s="17"/>
      <c r="D123" s="17"/>
      <c r="E123" s="17"/>
      <c r="F123" s="17"/>
      <c r="G123" s="17"/>
      <c r="H123" s="17"/>
      <c r="I123" s="17"/>
      <c r="J123" s="17"/>
      <c r="K123" s="17"/>
      <c r="L123" s="17"/>
      <c r="M123" s="17"/>
      <c r="N123" s="17"/>
      <c r="O123" s="17"/>
      <c r="P123" s="17"/>
      <c r="Q123" s="17"/>
      <c r="R123" s="17"/>
      <c r="S123" s="17"/>
      <c r="T123" s="17"/>
      <c r="U123" s="17"/>
      <c r="V123" s="17"/>
      <c r="W123" s="17"/>
      <c r="X123" s="17"/>
      <c r="Y123" s="17"/>
    </row>
    <row r="124" spans="2:25" x14ac:dyDescent="0.35">
      <c r="B124" s="6" t="s">
        <v>126</v>
      </c>
      <c r="C124" s="17"/>
      <c r="D124" s="17"/>
      <c r="E124" s="17"/>
      <c r="F124" s="17"/>
      <c r="G124" s="17"/>
      <c r="H124" s="17"/>
      <c r="I124" s="17"/>
      <c r="J124" s="17"/>
      <c r="K124" s="17"/>
      <c r="L124" s="17"/>
      <c r="M124" s="17"/>
      <c r="N124" s="17"/>
      <c r="O124" s="17"/>
      <c r="P124" s="17"/>
      <c r="Q124" s="17"/>
      <c r="R124" s="17"/>
      <c r="S124" s="17"/>
      <c r="T124" s="17"/>
      <c r="U124" s="17"/>
      <c r="V124" s="17"/>
      <c r="W124" s="17"/>
      <c r="X124" s="17"/>
      <c r="Y124" s="17"/>
    </row>
    <row r="125" spans="2:25" x14ac:dyDescent="0.35">
      <c r="B125" s="24" t="s">
        <v>50</v>
      </c>
      <c r="C125" s="17"/>
      <c r="D125" s="17"/>
      <c r="E125" s="17"/>
      <c r="F125" s="17"/>
      <c r="G125" s="17"/>
      <c r="H125" s="17"/>
      <c r="I125" s="17"/>
      <c r="J125" s="17"/>
      <c r="K125" s="17"/>
      <c r="L125" s="17"/>
      <c r="M125" s="17"/>
      <c r="N125" s="17"/>
      <c r="O125" s="17"/>
      <c r="P125" s="17"/>
      <c r="Q125" s="17"/>
      <c r="R125" s="17"/>
      <c r="S125" s="17"/>
      <c r="T125" s="17"/>
      <c r="U125" s="17"/>
      <c r="V125" s="17"/>
      <c r="W125" s="17"/>
      <c r="X125" s="17"/>
      <c r="Y125" s="17"/>
    </row>
    <row r="126" spans="2:25" x14ac:dyDescent="0.35">
      <c r="B126" t="s">
        <v>112</v>
      </c>
      <c r="C126" s="17">
        <v>0.81418855074473395</v>
      </c>
      <c r="D126" s="17">
        <v>0.82297469579798699</v>
      </c>
      <c r="E126" s="17">
        <v>0.80600653453416404</v>
      </c>
      <c r="F126" s="17"/>
      <c r="G126" s="17">
        <v>0.74595091975427397</v>
      </c>
      <c r="H126" s="17">
        <v>0.810857819194578</v>
      </c>
      <c r="I126" s="17">
        <v>0.81509382880196501</v>
      </c>
      <c r="J126" s="17">
        <v>0.84114374334105502</v>
      </c>
      <c r="K126" s="17">
        <v>0.82163172833273401</v>
      </c>
      <c r="L126" s="17">
        <v>0.817654965206559</v>
      </c>
      <c r="M126" s="17"/>
      <c r="N126" s="17">
        <v>0.79080723691461596</v>
      </c>
      <c r="O126" s="17">
        <v>0.88086548360927897</v>
      </c>
      <c r="P126" s="17">
        <v>0.80642218236607699</v>
      </c>
      <c r="Q126" s="17">
        <v>0.84013629922126198</v>
      </c>
      <c r="R126" s="17">
        <v>0.87114291140241296</v>
      </c>
      <c r="S126" s="17">
        <v>0.79214031416622199</v>
      </c>
      <c r="T126" s="17">
        <v>0.85920720103951997</v>
      </c>
      <c r="U126" s="17">
        <v>0.70869057568242599</v>
      </c>
      <c r="V126" s="17">
        <v>0.81248021971141204</v>
      </c>
      <c r="W126" s="17"/>
      <c r="X126" s="17">
        <v>0.83872732165444197</v>
      </c>
      <c r="Y126" s="17">
        <v>0.80060961633655803</v>
      </c>
    </row>
    <row r="127" spans="2:25" x14ac:dyDescent="0.35">
      <c r="B127" t="s">
        <v>113</v>
      </c>
      <c r="C127" s="17">
        <v>0.74731629144051803</v>
      </c>
      <c r="D127" s="17">
        <v>0.74988833773848196</v>
      </c>
      <c r="E127" s="17">
        <v>0.74476933304645498</v>
      </c>
      <c r="F127" s="17"/>
      <c r="G127" s="17">
        <v>0.66145081185826005</v>
      </c>
      <c r="H127" s="17">
        <v>0.76211696936300199</v>
      </c>
      <c r="I127" s="17">
        <v>0.76331490725075701</v>
      </c>
      <c r="J127" s="17">
        <v>0.75452901726878596</v>
      </c>
      <c r="K127" s="17">
        <v>0.77539351441481796</v>
      </c>
      <c r="L127" s="17">
        <v>0.73683693251187699</v>
      </c>
      <c r="M127" s="17"/>
      <c r="N127" s="17">
        <v>0.85482484081801902</v>
      </c>
      <c r="O127" s="17">
        <v>0.93964635094571203</v>
      </c>
      <c r="P127" s="17">
        <v>0.64629062449003105</v>
      </c>
      <c r="Q127" s="17">
        <v>0.71625590833382302</v>
      </c>
      <c r="R127" s="17">
        <v>0.63877394172861501</v>
      </c>
      <c r="S127" s="17">
        <v>0.79768460394541596</v>
      </c>
      <c r="T127" s="17">
        <v>0.87567018014729603</v>
      </c>
      <c r="U127" s="17">
        <v>0.70515923693369098</v>
      </c>
      <c r="V127" s="17">
        <v>0.85372234032866701</v>
      </c>
      <c r="W127" s="17"/>
      <c r="X127" s="17">
        <v>0.79481603882963203</v>
      </c>
      <c r="Y127" s="17">
        <v>0.72103152124664704</v>
      </c>
    </row>
    <row r="128" spans="2:25" x14ac:dyDescent="0.35">
      <c r="B128" t="s">
        <v>114</v>
      </c>
      <c r="C128" s="17">
        <v>0.73969378220668702</v>
      </c>
      <c r="D128" s="17">
        <v>0.69380140206770002</v>
      </c>
      <c r="E128" s="17">
        <v>0.78244033585686201</v>
      </c>
      <c r="F128" s="17"/>
      <c r="G128" s="17">
        <v>0.88565182623550298</v>
      </c>
      <c r="H128" s="17">
        <v>0.8720964273256</v>
      </c>
      <c r="I128" s="17">
        <v>0.79985223968693198</v>
      </c>
      <c r="J128" s="17">
        <v>0.76979564373828602</v>
      </c>
      <c r="K128" s="17">
        <v>0.67721253834063999</v>
      </c>
      <c r="L128" s="17">
        <v>0.58896307953438898</v>
      </c>
      <c r="M128" s="17"/>
      <c r="N128" s="17">
        <v>0.77420888477011696</v>
      </c>
      <c r="O128" s="17">
        <v>0.66007155591363997</v>
      </c>
      <c r="P128" s="17">
        <v>0.69290750812367297</v>
      </c>
      <c r="Q128" s="17">
        <v>0.61291757121874002</v>
      </c>
      <c r="R128" s="17">
        <v>0.76113091756601903</v>
      </c>
      <c r="S128" s="17">
        <v>0.72484150874477304</v>
      </c>
      <c r="T128" s="17">
        <v>0.82019541441994304</v>
      </c>
      <c r="U128" s="17">
        <v>0.82118304448540602</v>
      </c>
      <c r="V128" s="17">
        <v>0.77123831461472303</v>
      </c>
      <c r="W128" s="17"/>
      <c r="X128" s="17">
        <v>0.75583908237713704</v>
      </c>
      <c r="Y128" s="17">
        <v>0.73075951354174296</v>
      </c>
    </row>
    <row r="129" spans="2:25" x14ac:dyDescent="0.35">
      <c r="B129" t="s">
        <v>115</v>
      </c>
      <c r="C129" s="17">
        <v>0.70943141312858404</v>
      </c>
      <c r="D129" s="17">
        <v>0.69267380821404101</v>
      </c>
      <c r="E129" s="17">
        <v>0.72574943558129901</v>
      </c>
      <c r="F129" s="17"/>
      <c r="G129" s="17">
        <v>0.73475041013553299</v>
      </c>
      <c r="H129" s="17">
        <v>0.73404717644286999</v>
      </c>
      <c r="I129" s="17">
        <v>0.76718032122162105</v>
      </c>
      <c r="J129" s="17">
        <v>0.73711344694146597</v>
      </c>
      <c r="K129" s="17">
        <v>0.70507071289031498</v>
      </c>
      <c r="L129" s="17">
        <v>0.63234748369286897</v>
      </c>
      <c r="M129" s="17"/>
      <c r="N129" s="17">
        <v>0.60669570590532995</v>
      </c>
      <c r="O129" s="17">
        <v>0.698464633016182</v>
      </c>
      <c r="P129" s="17">
        <v>0.636525446992252</v>
      </c>
      <c r="Q129" s="17">
        <v>0.79209498729793304</v>
      </c>
      <c r="R129" s="17">
        <v>0.72562493282929996</v>
      </c>
      <c r="S129" s="17">
        <v>0.70695143591508403</v>
      </c>
      <c r="T129" s="17">
        <v>0.77966202737137302</v>
      </c>
      <c r="U129" s="17">
        <v>0.66823504563285596</v>
      </c>
      <c r="V129" s="17">
        <v>0.63787559698386398</v>
      </c>
      <c r="W129" s="17"/>
      <c r="X129" s="17">
        <v>0.74926242339520799</v>
      </c>
      <c r="Y129" s="17">
        <v>0.68739026535423098</v>
      </c>
    </row>
    <row r="130" spans="2:25" x14ac:dyDescent="0.35">
      <c r="B130" t="s">
        <v>116</v>
      </c>
      <c r="C130" s="17">
        <v>0.70349694624840098</v>
      </c>
      <c r="D130" s="17">
        <v>0.67722570224746803</v>
      </c>
      <c r="E130" s="17">
        <v>0.72911464478280996</v>
      </c>
      <c r="F130" s="17"/>
      <c r="G130" s="17">
        <v>0.73218439076665198</v>
      </c>
      <c r="H130" s="17">
        <v>0.71617618186762</v>
      </c>
      <c r="I130" s="17">
        <v>0.70718592652910495</v>
      </c>
      <c r="J130" s="17">
        <v>0.73339006214924396</v>
      </c>
      <c r="K130" s="17">
        <v>0.71386803095841</v>
      </c>
      <c r="L130" s="17">
        <v>0.65569490445428702</v>
      </c>
      <c r="M130" s="17"/>
      <c r="N130" s="17">
        <v>0.80295148688353302</v>
      </c>
      <c r="O130" s="17">
        <v>0.73607323109429001</v>
      </c>
      <c r="P130" s="17">
        <v>0.79322323776784298</v>
      </c>
      <c r="Q130" s="17">
        <v>0.68549686717388902</v>
      </c>
      <c r="R130" s="17">
        <v>0.62694530519487501</v>
      </c>
      <c r="S130" s="17">
        <v>0.58864970194956201</v>
      </c>
      <c r="T130" s="17">
        <v>0.83097670954608405</v>
      </c>
      <c r="U130" s="17">
        <v>0.617942393643513</v>
      </c>
      <c r="V130" s="17">
        <v>0.82990559199844405</v>
      </c>
      <c r="W130" s="17"/>
      <c r="X130" s="17">
        <v>0.73533724943752299</v>
      </c>
      <c r="Y130" s="17">
        <v>0.68587758828901402</v>
      </c>
    </row>
    <row r="131" spans="2:25" x14ac:dyDescent="0.35">
      <c r="B131" t="s">
        <v>117</v>
      </c>
      <c r="C131" s="17">
        <v>0.50462178504551103</v>
      </c>
      <c r="D131" s="17">
        <v>0.53139111531752803</v>
      </c>
      <c r="E131" s="17">
        <v>0.48003039511680801</v>
      </c>
      <c r="F131" s="17"/>
      <c r="G131" s="17">
        <v>0.444739900079476</v>
      </c>
      <c r="H131" s="17">
        <v>0.53964973506408598</v>
      </c>
      <c r="I131" s="17">
        <v>0.53407203391596803</v>
      </c>
      <c r="J131" s="17">
        <v>0.51262092595757403</v>
      </c>
      <c r="K131" s="17">
        <v>0.524516123717646</v>
      </c>
      <c r="L131" s="17">
        <v>0.46871862559002597</v>
      </c>
      <c r="M131" s="17"/>
      <c r="N131" s="17">
        <v>0.34900471249853798</v>
      </c>
      <c r="O131" s="17">
        <v>0.49508598879985299</v>
      </c>
      <c r="P131" s="17">
        <v>0.23953262789186</v>
      </c>
      <c r="Q131" s="17">
        <v>0.53899677366799703</v>
      </c>
      <c r="R131" s="17">
        <v>0.63740362684755003</v>
      </c>
      <c r="S131" s="17">
        <v>0.34475957230592102</v>
      </c>
      <c r="T131" s="17">
        <v>0.68328015007151099</v>
      </c>
      <c r="U131" s="17">
        <v>0.61294625216516996</v>
      </c>
      <c r="V131" s="17">
        <v>0.51502973671341201</v>
      </c>
      <c r="W131" s="17"/>
      <c r="X131" s="17">
        <v>0.56835557684490901</v>
      </c>
      <c r="Y131" s="17">
        <v>0.46935363809500502</v>
      </c>
    </row>
    <row r="132" spans="2:25" x14ac:dyDescent="0.35">
      <c r="B132" t="s">
        <v>118</v>
      </c>
      <c r="C132" s="17">
        <v>0.454996287389208</v>
      </c>
      <c r="D132" s="17">
        <v>0.50977633433748903</v>
      </c>
      <c r="E132" s="17">
        <v>0.40215994990369602</v>
      </c>
      <c r="F132" s="17"/>
      <c r="G132" s="17">
        <v>0.671610388703207</v>
      </c>
      <c r="H132" s="17">
        <v>0.665862171734108</v>
      </c>
      <c r="I132" s="17">
        <v>0.56444516581724902</v>
      </c>
      <c r="J132" s="17">
        <v>0.488075322567671</v>
      </c>
      <c r="K132" s="17">
        <v>0.37968780998582202</v>
      </c>
      <c r="L132" s="17">
        <v>0.20631331500354</v>
      </c>
      <c r="M132" s="17"/>
      <c r="N132" s="17">
        <v>0.39542299988016799</v>
      </c>
      <c r="O132" s="17">
        <v>0.53140662095772095</v>
      </c>
      <c r="P132" s="17">
        <v>0.39008253964112699</v>
      </c>
      <c r="Q132" s="17">
        <v>0.458501889052776</v>
      </c>
      <c r="R132" s="17">
        <v>0.53086657313496699</v>
      </c>
      <c r="S132" s="17">
        <v>0.40570310775290902</v>
      </c>
      <c r="T132" s="17">
        <v>0.40050675838074101</v>
      </c>
      <c r="U132" s="17">
        <v>0.50081642889309397</v>
      </c>
      <c r="V132" s="17">
        <v>0.55558371005999097</v>
      </c>
      <c r="W132" s="17"/>
      <c r="X132" s="17">
        <v>0.530578498471175</v>
      </c>
      <c r="Y132" s="17">
        <v>0.41317162182289402</v>
      </c>
    </row>
    <row r="133" spans="2:25" x14ac:dyDescent="0.35">
      <c r="B133" t="s">
        <v>119</v>
      </c>
      <c r="C133" s="17">
        <v>0.45002000522784202</v>
      </c>
      <c r="D133" s="17">
        <v>0.47844500590363298</v>
      </c>
      <c r="E133" s="17">
        <v>0.422280885404758</v>
      </c>
      <c r="F133" s="17"/>
      <c r="G133" s="17">
        <v>0.76641293764752205</v>
      </c>
      <c r="H133" s="17">
        <v>0.66821967838509899</v>
      </c>
      <c r="I133" s="17">
        <v>0.54766751363519595</v>
      </c>
      <c r="J133" s="17">
        <v>0.48242450431177297</v>
      </c>
      <c r="K133" s="17">
        <v>0.34558866928065501</v>
      </c>
      <c r="L133" s="17">
        <v>0.18706336887097599</v>
      </c>
      <c r="M133" s="17"/>
      <c r="N133" s="17">
        <v>0.495380629844895</v>
      </c>
      <c r="O133" s="17">
        <v>0.53116036164714697</v>
      </c>
      <c r="P133" s="17">
        <v>0.39488429829010102</v>
      </c>
      <c r="Q133" s="17">
        <v>0.43445655297630098</v>
      </c>
      <c r="R133" s="17">
        <v>0.44237462332939198</v>
      </c>
      <c r="S133" s="17">
        <v>0.45297898765809103</v>
      </c>
      <c r="T133" s="17">
        <v>0.40255415848535397</v>
      </c>
      <c r="U133" s="17">
        <v>0.48902890954135703</v>
      </c>
      <c r="V133" s="17">
        <v>0.59400581184363999</v>
      </c>
      <c r="W133" s="17"/>
      <c r="X133" s="17">
        <v>0.52991948139935097</v>
      </c>
      <c r="Y133" s="17">
        <v>0.405806309677536</v>
      </c>
    </row>
    <row r="134" spans="2:25" x14ac:dyDescent="0.35">
      <c r="B134" t="s">
        <v>120</v>
      </c>
      <c r="C134" s="17">
        <v>0.44445817391092501</v>
      </c>
      <c r="D134" s="17">
        <v>0.46248205920095298</v>
      </c>
      <c r="E134" s="17">
        <v>0.42818249302671402</v>
      </c>
      <c r="F134" s="17"/>
      <c r="G134" s="17">
        <v>0.458116708716166</v>
      </c>
      <c r="H134" s="17">
        <v>0.48113088108694102</v>
      </c>
      <c r="I134" s="17">
        <v>0.44772362712145602</v>
      </c>
      <c r="J134" s="17">
        <v>0.46761145047887098</v>
      </c>
      <c r="K134" s="17">
        <v>0.44661643257668798</v>
      </c>
      <c r="L134" s="17">
        <v>0.39832849289917399</v>
      </c>
      <c r="M134" s="17"/>
      <c r="N134" s="17">
        <v>0.44154620958766</v>
      </c>
      <c r="O134" s="17">
        <v>0.33620786818474602</v>
      </c>
      <c r="P134" s="17">
        <v>0.38796991870060399</v>
      </c>
      <c r="Q134" s="17">
        <v>0.41707401770485802</v>
      </c>
      <c r="R134" s="17">
        <v>0.46709316885444202</v>
      </c>
      <c r="S134" s="17">
        <v>0.40108204084104698</v>
      </c>
      <c r="T134" s="17">
        <v>0.49873213830617302</v>
      </c>
      <c r="U134" s="17">
        <v>0.51924274119258296</v>
      </c>
      <c r="V134" s="17">
        <v>0.43765403850855</v>
      </c>
      <c r="W134" s="17"/>
      <c r="X134" s="17">
        <v>0.54828203505052797</v>
      </c>
      <c r="Y134" s="17">
        <v>0.38700552456651499</v>
      </c>
    </row>
    <row r="135" spans="2:25" x14ac:dyDescent="0.35">
      <c r="B135" t="s">
        <v>121</v>
      </c>
      <c r="C135" s="17">
        <v>0.35378063602719001</v>
      </c>
      <c r="D135" s="17">
        <v>0.41342608460240998</v>
      </c>
      <c r="E135" s="17">
        <v>0.29655011753482202</v>
      </c>
      <c r="F135" s="17"/>
      <c r="G135" s="17">
        <v>0.58987009691585901</v>
      </c>
      <c r="H135" s="17">
        <v>0.55557592636389097</v>
      </c>
      <c r="I135" s="17">
        <v>0.45696864162494399</v>
      </c>
      <c r="J135" s="17">
        <v>0.36875560836736898</v>
      </c>
      <c r="K135" s="17">
        <v>0.24141578806814701</v>
      </c>
      <c r="L135" s="17">
        <v>0.143998296891241</v>
      </c>
      <c r="M135" s="17"/>
      <c r="N135" s="17">
        <v>0.33768354007526102</v>
      </c>
      <c r="O135" s="17">
        <v>0.31928491125957198</v>
      </c>
      <c r="P135" s="17">
        <v>0.35600102648863002</v>
      </c>
      <c r="Q135" s="17">
        <v>0.35721716219793398</v>
      </c>
      <c r="R135" s="17">
        <v>0.39832480286968602</v>
      </c>
      <c r="S135" s="17">
        <v>0.23504426704127299</v>
      </c>
      <c r="T135" s="17">
        <v>0.41652609365163701</v>
      </c>
      <c r="U135" s="17">
        <v>0.384760535145517</v>
      </c>
      <c r="V135" s="17">
        <v>0.31672813826430901</v>
      </c>
      <c r="W135" s="17"/>
      <c r="X135" s="17">
        <v>0.38473562705146602</v>
      </c>
      <c r="Y135" s="17">
        <v>0.336651180184801</v>
      </c>
    </row>
    <row r="136" spans="2:25" x14ac:dyDescent="0.35">
      <c r="B136" t="s">
        <v>122</v>
      </c>
      <c r="C136" s="17">
        <v>0.322353435455346</v>
      </c>
      <c r="D136" s="17">
        <v>0.31900964259528602</v>
      </c>
      <c r="E136" s="17">
        <v>0.32571399428018999</v>
      </c>
      <c r="F136" s="17"/>
      <c r="G136" s="17">
        <v>0.43568846813178103</v>
      </c>
      <c r="H136" s="17">
        <v>0.41424469804424102</v>
      </c>
      <c r="I136" s="17">
        <v>0.36953050152545602</v>
      </c>
      <c r="J136" s="17">
        <v>0.32962812808685599</v>
      </c>
      <c r="K136" s="17">
        <v>0.28557337638644098</v>
      </c>
      <c r="L136" s="17">
        <v>0.214754262854816</v>
      </c>
      <c r="M136" s="17"/>
      <c r="N136" s="17">
        <v>0.31951415486810503</v>
      </c>
      <c r="O136" s="17">
        <v>0.30387385955139901</v>
      </c>
      <c r="P136" s="17">
        <v>0.320382802281024</v>
      </c>
      <c r="Q136" s="17">
        <v>0.34340098793324803</v>
      </c>
      <c r="R136" s="17">
        <v>0.31097540369051901</v>
      </c>
      <c r="S136" s="17">
        <v>0.31998994519704999</v>
      </c>
      <c r="T136" s="17">
        <v>0.33796264276417398</v>
      </c>
      <c r="U136" s="17">
        <v>0.31971453286895901</v>
      </c>
      <c r="V136" s="17">
        <v>0.28770957113249601</v>
      </c>
      <c r="W136" s="17"/>
      <c r="X136" s="17">
        <v>0.40344532095514102</v>
      </c>
      <c r="Y136" s="17">
        <v>0.27747990049759402</v>
      </c>
    </row>
    <row r="137" spans="2:25" x14ac:dyDescent="0.35">
      <c r="B137" t="s">
        <v>123</v>
      </c>
      <c r="C137" s="17">
        <v>0.25782686982508801</v>
      </c>
      <c r="D137" s="17">
        <v>0.30626610335730498</v>
      </c>
      <c r="E137" s="17">
        <v>0.21294869468921901</v>
      </c>
      <c r="F137" s="17"/>
      <c r="G137" s="17">
        <v>0.245066020324234</v>
      </c>
      <c r="H137" s="17">
        <v>0.31399257375719303</v>
      </c>
      <c r="I137" s="17">
        <v>0.29135017513306799</v>
      </c>
      <c r="J137" s="17">
        <v>0.28752341231230499</v>
      </c>
      <c r="K137" s="17">
        <v>0.26173465513412397</v>
      </c>
      <c r="L137" s="17">
        <v>0.18495762735853499</v>
      </c>
      <c r="M137" s="17"/>
      <c r="N137" s="17">
        <v>0.279335339823442</v>
      </c>
      <c r="O137" s="17">
        <v>0.19524167989186</v>
      </c>
      <c r="P137" s="17">
        <v>0.22810347934991901</v>
      </c>
      <c r="Q137" s="17">
        <v>0.18465043332738099</v>
      </c>
      <c r="R137" s="17">
        <v>0.28613307415081302</v>
      </c>
      <c r="S137" s="17">
        <v>0.196313154886567</v>
      </c>
      <c r="T137" s="17">
        <v>0.30097483286389898</v>
      </c>
      <c r="U137" s="17">
        <v>0.35509737510606199</v>
      </c>
      <c r="V137" s="17">
        <v>0.26550012521015298</v>
      </c>
      <c r="W137" s="17"/>
      <c r="X137" s="17">
        <v>0.38244113289614101</v>
      </c>
      <c r="Y137" s="17">
        <v>0.188869507991794</v>
      </c>
    </row>
    <row r="138" spans="2:25" x14ac:dyDescent="0.35">
      <c r="B138" t="s">
        <v>124</v>
      </c>
      <c r="C138" s="17">
        <v>8.2088729312507894E-2</v>
      </c>
      <c r="D138" s="17">
        <v>0.125095089413232</v>
      </c>
      <c r="E138" s="17">
        <v>4.1930987080116798E-2</v>
      </c>
      <c r="F138" s="17"/>
      <c r="G138" s="17">
        <v>0.136881756507956</v>
      </c>
      <c r="H138" s="17">
        <v>0.164398154932511</v>
      </c>
      <c r="I138" s="17">
        <v>0.124204883263176</v>
      </c>
      <c r="J138" s="17">
        <v>7.8146316328187596E-2</v>
      </c>
      <c r="K138" s="17">
        <v>3.5929907037276297E-2</v>
      </c>
      <c r="L138" s="17">
        <v>1.9032894011807501E-2</v>
      </c>
      <c r="M138" s="17"/>
      <c r="N138" s="17">
        <v>9.8280686510832702E-2</v>
      </c>
      <c r="O138" s="17">
        <v>5.7107564350861402E-2</v>
      </c>
      <c r="P138" s="17">
        <v>5.1348857293126098E-2</v>
      </c>
      <c r="Q138" s="17">
        <v>5.6655855420942501E-2</v>
      </c>
      <c r="R138" s="17">
        <v>7.4630733637694305E-2</v>
      </c>
      <c r="S138" s="17">
        <v>0.11630082147298799</v>
      </c>
      <c r="T138" s="17">
        <v>0.110003857311938</v>
      </c>
      <c r="U138" s="17">
        <v>7.8741350790927894E-2</v>
      </c>
      <c r="V138" s="17">
        <v>9.7449682146923206E-2</v>
      </c>
      <c r="W138" s="17"/>
      <c r="X138" s="17">
        <v>0.123240828924576</v>
      </c>
      <c r="Y138" s="17">
        <v>5.9316534916662098E-2</v>
      </c>
    </row>
    <row r="139" spans="2:25" x14ac:dyDescent="0.35">
      <c r="B139" t="s">
        <v>125</v>
      </c>
      <c r="C139" s="17">
        <v>4.15338280602736E-2</v>
      </c>
      <c r="D139" s="17">
        <v>6.0721495425065601E-2</v>
      </c>
      <c r="E139" s="17">
        <v>2.3636740506597798E-2</v>
      </c>
      <c r="F139" s="17"/>
      <c r="G139" s="17">
        <v>5.5458874329670102E-2</v>
      </c>
      <c r="H139" s="17">
        <v>8.00745916120955E-2</v>
      </c>
      <c r="I139" s="17">
        <v>6.1019122418687302E-2</v>
      </c>
      <c r="J139" s="17">
        <v>4.4230092131190099E-2</v>
      </c>
      <c r="K139" s="17">
        <v>2.6389245704809799E-2</v>
      </c>
      <c r="L139" s="17">
        <v>9.1631878127030105E-3</v>
      </c>
      <c r="M139" s="17"/>
      <c r="N139" s="17">
        <v>3.32262791437032E-2</v>
      </c>
      <c r="O139" s="17">
        <v>2.8414130627195298E-2</v>
      </c>
      <c r="P139" s="17">
        <v>2.83809288670086E-2</v>
      </c>
      <c r="Q139" s="17">
        <v>3.5376745354874499E-2</v>
      </c>
      <c r="R139" s="17">
        <v>4.9706186320270802E-2</v>
      </c>
      <c r="S139" s="17">
        <v>4.0894671540532099E-2</v>
      </c>
      <c r="T139" s="17">
        <v>5.1651297245049001E-2</v>
      </c>
      <c r="U139" s="17">
        <v>4.1490326593251997E-2</v>
      </c>
      <c r="V139" s="17">
        <v>5.6328329545563702E-2</v>
      </c>
      <c r="W139" s="17"/>
      <c r="X139" s="17">
        <v>7.1177933220527498E-2</v>
      </c>
      <c r="Y139" s="17">
        <v>2.5129772574311701E-2</v>
      </c>
    </row>
    <row r="140" spans="2:25" x14ac:dyDescent="0.35">
      <c r="B140" t="s">
        <v>48</v>
      </c>
      <c r="C140" s="17">
        <v>1.3191893825307501E-2</v>
      </c>
      <c r="D140" s="17">
        <v>1.09386587877297E-2</v>
      </c>
      <c r="E140" s="17">
        <v>1.53658768150265E-2</v>
      </c>
      <c r="F140" s="17"/>
      <c r="G140" s="17">
        <v>3.9820415992660998E-3</v>
      </c>
      <c r="H140" s="17">
        <v>2.14733601842564E-3</v>
      </c>
      <c r="I140" s="17">
        <v>9.6262781325794303E-3</v>
      </c>
      <c r="J140" s="17">
        <v>1.52796170463253E-2</v>
      </c>
      <c r="K140" s="17">
        <v>1.52499703476205E-2</v>
      </c>
      <c r="L140" s="17">
        <v>2.2663387196048101E-2</v>
      </c>
      <c r="M140" s="17"/>
      <c r="N140" s="17">
        <v>4.6881919675807399E-3</v>
      </c>
      <c r="O140" s="17">
        <v>0</v>
      </c>
      <c r="P140" s="17">
        <v>2.4024326914496501E-2</v>
      </c>
      <c r="Q140" s="17">
        <v>2.4075350096668401E-2</v>
      </c>
      <c r="R140" s="17">
        <v>8.2983742107433194E-3</v>
      </c>
      <c r="S140" s="17">
        <v>1.5847165130438299E-2</v>
      </c>
      <c r="T140" s="17">
        <v>4.7628310403837696E-3</v>
      </c>
      <c r="U140" s="17">
        <v>7.9675715878051202E-3</v>
      </c>
      <c r="V140" s="17">
        <v>9.8635356514788497E-3</v>
      </c>
      <c r="W140" s="17"/>
      <c r="X140" s="17">
        <v>6.9471568977272002E-3</v>
      </c>
      <c r="Y140" s="17">
        <v>1.6647522204085798E-2</v>
      </c>
    </row>
    <row r="141" spans="2:25" x14ac:dyDescent="0.35">
      <c r="C141" s="17"/>
      <c r="D141" s="17"/>
      <c r="E141" s="17"/>
      <c r="F141" s="17"/>
      <c r="G141" s="17"/>
      <c r="H141" s="17"/>
      <c r="I141" s="17"/>
      <c r="J141" s="17"/>
      <c r="K141" s="17"/>
      <c r="L141" s="17"/>
      <c r="M141" s="17"/>
      <c r="N141" s="17"/>
      <c r="O141" s="17"/>
      <c r="P141" s="17"/>
      <c r="Q141" s="17"/>
      <c r="R141" s="17"/>
      <c r="S141" s="17"/>
      <c r="T141" s="17"/>
      <c r="U141" s="17"/>
      <c r="V141" s="17"/>
      <c r="W141" s="17"/>
      <c r="X141" s="17"/>
      <c r="Y141" s="17"/>
    </row>
    <row r="142" spans="2:25" x14ac:dyDescent="0.35">
      <c r="B142" s="6" t="s">
        <v>138</v>
      </c>
      <c r="C142" s="17"/>
      <c r="D142" s="17"/>
      <c r="E142" s="17"/>
      <c r="F142" s="17"/>
      <c r="G142" s="17"/>
      <c r="H142" s="17"/>
      <c r="I142" s="17"/>
      <c r="J142" s="17"/>
      <c r="K142" s="17"/>
      <c r="L142" s="17"/>
      <c r="M142" s="17"/>
      <c r="N142" s="17"/>
      <c r="O142" s="17"/>
      <c r="P142" s="17"/>
      <c r="Q142" s="17"/>
      <c r="R142" s="17"/>
      <c r="S142" s="17"/>
      <c r="T142" s="17"/>
      <c r="U142" s="17"/>
      <c r="V142" s="17"/>
      <c r="W142" s="17"/>
      <c r="X142" s="17"/>
      <c r="Y142" s="17"/>
    </row>
    <row r="143" spans="2:25" x14ac:dyDescent="0.35">
      <c r="B143" s="24" t="s">
        <v>98</v>
      </c>
      <c r="C143" s="17"/>
      <c r="D143" s="17"/>
      <c r="E143" s="17"/>
      <c r="F143" s="17"/>
      <c r="G143" s="17"/>
      <c r="H143" s="17"/>
      <c r="I143" s="17"/>
      <c r="J143" s="17"/>
      <c r="K143" s="17"/>
      <c r="L143" s="17"/>
      <c r="M143" s="17"/>
      <c r="N143" s="17"/>
      <c r="O143" s="17"/>
      <c r="P143" s="17"/>
      <c r="Q143" s="17"/>
      <c r="R143" s="17"/>
      <c r="S143" s="17"/>
      <c r="T143" s="17"/>
      <c r="U143" s="17"/>
      <c r="V143" s="17"/>
      <c r="W143" s="17"/>
      <c r="X143" s="17"/>
      <c r="Y143" s="17"/>
    </row>
    <row r="144" spans="2:25" x14ac:dyDescent="0.35">
      <c r="B144" t="s">
        <v>130</v>
      </c>
      <c r="C144" s="17">
        <v>0.31217056517517899</v>
      </c>
      <c r="D144" s="17">
        <v>0.33411687067192303</v>
      </c>
      <c r="E144" s="17">
        <v>0.29190524655066402</v>
      </c>
      <c r="F144" s="17"/>
      <c r="G144" s="17">
        <v>0.31961376877835002</v>
      </c>
      <c r="H144" s="17">
        <v>0.32712590020620902</v>
      </c>
      <c r="I144" s="17">
        <v>0.33581192253981801</v>
      </c>
      <c r="J144" s="17">
        <v>0.33909599663539702</v>
      </c>
      <c r="K144" s="17">
        <v>0.284727318857809</v>
      </c>
      <c r="L144" s="17">
        <v>0.28503572350467798</v>
      </c>
      <c r="M144" s="17"/>
      <c r="N144" s="17">
        <v>0.39034012117</v>
      </c>
      <c r="O144" s="17">
        <v>0.28264998917335499</v>
      </c>
      <c r="P144" s="17">
        <v>0.28718714865533301</v>
      </c>
      <c r="Q144" s="17">
        <v>0.25516001132765598</v>
      </c>
      <c r="R144" s="17">
        <v>0.19209848452493999</v>
      </c>
      <c r="S144" s="17">
        <v>0.46067005035708702</v>
      </c>
      <c r="T144" s="17">
        <v>0.276957972608738</v>
      </c>
      <c r="U144" s="17">
        <v>0.35425417862617198</v>
      </c>
      <c r="V144" s="17">
        <v>0.40075315430526498</v>
      </c>
      <c r="W144" s="17"/>
      <c r="X144" s="17">
        <v>0.34702298752275301</v>
      </c>
      <c r="Y144" s="17">
        <v>0.292881374369658</v>
      </c>
    </row>
    <row r="145" spans="2:25" x14ac:dyDescent="0.35">
      <c r="B145" t="s">
        <v>131</v>
      </c>
      <c r="C145" s="17">
        <v>0.47352380766121199</v>
      </c>
      <c r="D145" s="17">
        <v>0.46226636732305398</v>
      </c>
      <c r="E145" s="17">
        <v>0.48434386935357898</v>
      </c>
      <c r="F145" s="17"/>
      <c r="G145" s="17">
        <v>0.460117215889845</v>
      </c>
      <c r="H145" s="17">
        <v>0.46566493019629801</v>
      </c>
      <c r="I145" s="17">
        <v>0.43675705177944901</v>
      </c>
      <c r="J145" s="17">
        <v>0.45241655062723901</v>
      </c>
      <c r="K145" s="17">
        <v>0.498103376008596</v>
      </c>
      <c r="L145" s="17">
        <v>0.50500417366357497</v>
      </c>
      <c r="M145" s="17"/>
      <c r="N145" s="17">
        <v>0.44207017496925599</v>
      </c>
      <c r="O145" s="17">
        <v>0.56402101628702495</v>
      </c>
      <c r="P145" s="17">
        <v>0.45124736043033598</v>
      </c>
      <c r="Q145" s="17">
        <v>0.473258820207414</v>
      </c>
      <c r="R145" s="17">
        <v>0.51224050355262396</v>
      </c>
      <c r="S145" s="17">
        <v>0.39877011239021798</v>
      </c>
      <c r="T145" s="17">
        <v>0.49599305452157499</v>
      </c>
      <c r="U145" s="17">
        <v>0.51426601164972796</v>
      </c>
      <c r="V145" s="17">
        <v>0.433500619279445</v>
      </c>
      <c r="W145" s="17"/>
      <c r="X145" s="17">
        <v>0.46752511216727</v>
      </c>
      <c r="Y145" s="17">
        <v>0.47684380593315201</v>
      </c>
    </row>
    <row r="146" spans="2:25" x14ac:dyDescent="0.35">
      <c r="B146" t="s">
        <v>132</v>
      </c>
      <c r="C146" s="17">
        <v>0.111602920591549</v>
      </c>
      <c r="D146" s="17">
        <v>0.106736677872875</v>
      </c>
      <c r="E146" s="17">
        <v>0.115469116781384</v>
      </c>
      <c r="F146" s="17"/>
      <c r="G146" s="17">
        <v>9.89142236817286E-2</v>
      </c>
      <c r="H146" s="17">
        <v>0.10596649377231999</v>
      </c>
      <c r="I146" s="17">
        <v>0.130712574488833</v>
      </c>
      <c r="J146" s="17">
        <v>0.10266809087285</v>
      </c>
      <c r="K146" s="17">
        <v>0.12312293883684999</v>
      </c>
      <c r="L146" s="17">
        <v>0.10593121938022899</v>
      </c>
      <c r="M146" s="17"/>
      <c r="N146" s="17">
        <v>7.9655722758251099E-2</v>
      </c>
      <c r="O146" s="17">
        <v>6.4863648128849399E-2</v>
      </c>
      <c r="P146" s="17">
        <v>0.13720003524372401</v>
      </c>
      <c r="Q146" s="17">
        <v>0.13417426435982999</v>
      </c>
      <c r="R146" s="17">
        <v>0.14990442385463601</v>
      </c>
      <c r="S146" s="17">
        <v>8.2310667293745504E-2</v>
      </c>
      <c r="T146" s="17">
        <v>0.13382651575441201</v>
      </c>
      <c r="U146" s="17">
        <v>5.5385929257483202E-2</v>
      </c>
      <c r="V146" s="17">
        <v>9.4338237181483098E-2</v>
      </c>
      <c r="W146" s="17"/>
      <c r="X146" s="17">
        <v>0.10193742270058601</v>
      </c>
      <c r="Y146" s="17">
        <v>0.11695232302877</v>
      </c>
    </row>
    <row r="147" spans="2:25" x14ac:dyDescent="0.35">
      <c r="B147" t="s">
        <v>133</v>
      </c>
      <c r="C147" s="17">
        <v>7.4561773746753796E-2</v>
      </c>
      <c r="D147" s="17">
        <v>7.0536538499381796E-2</v>
      </c>
      <c r="E147" s="17">
        <v>7.8335814949208105E-2</v>
      </c>
      <c r="F147" s="17"/>
      <c r="G147" s="17">
        <v>8.7013155836576206E-2</v>
      </c>
      <c r="H147" s="17">
        <v>7.7050818175896499E-2</v>
      </c>
      <c r="I147" s="17">
        <v>6.5225356357910505E-2</v>
      </c>
      <c r="J147" s="17">
        <v>7.41305022158079E-2</v>
      </c>
      <c r="K147" s="17">
        <v>6.6300582717863599E-2</v>
      </c>
      <c r="L147" s="17">
        <v>8.0172516885636494E-2</v>
      </c>
      <c r="M147" s="17"/>
      <c r="N147" s="17">
        <v>6.2711705464559106E-2</v>
      </c>
      <c r="O147" s="17">
        <v>4.5698560878228899E-2</v>
      </c>
      <c r="P147" s="17">
        <v>8.1283587464549806E-2</v>
      </c>
      <c r="Q147" s="17">
        <v>0.107552853872739</v>
      </c>
      <c r="R147" s="17">
        <v>0.108701059243825</v>
      </c>
      <c r="S147" s="17">
        <v>4.3722624987083902E-2</v>
      </c>
      <c r="T147" s="17">
        <v>7.7235392613316994E-2</v>
      </c>
      <c r="U147" s="17">
        <v>5.2059993209918401E-2</v>
      </c>
      <c r="V147" s="17">
        <v>3.8041167386271099E-2</v>
      </c>
      <c r="W147" s="17"/>
      <c r="X147" s="17">
        <v>6.2803002401751101E-2</v>
      </c>
      <c r="Y147" s="17">
        <v>8.1069705443732196E-2</v>
      </c>
    </row>
    <row r="148" spans="2:25" x14ac:dyDescent="0.35">
      <c r="B148" t="s">
        <v>134</v>
      </c>
      <c r="C148" s="17">
        <v>2.36038839844562E-2</v>
      </c>
      <c r="D148" s="17">
        <v>2.4238531511225299E-2</v>
      </c>
      <c r="E148" s="17">
        <v>2.3100776386771899E-2</v>
      </c>
      <c r="F148" s="17"/>
      <c r="G148" s="17">
        <v>2.91345246544986E-2</v>
      </c>
      <c r="H148" s="17">
        <v>2.10091628735475E-2</v>
      </c>
      <c r="I148" s="17">
        <v>2.7161111294760901E-2</v>
      </c>
      <c r="J148" s="17">
        <v>2.5737645055499501E-2</v>
      </c>
      <c r="K148" s="17">
        <v>2.2288460966779298E-2</v>
      </c>
      <c r="L148" s="17">
        <v>2.02071260625818E-2</v>
      </c>
      <c r="M148" s="17"/>
      <c r="N148" s="17">
        <v>2.5222275637933399E-2</v>
      </c>
      <c r="O148" s="17">
        <v>3.8596224869976298E-2</v>
      </c>
      <c r="P148" s="17">
        <v>4.0952401120762198E-2</v>
      </c>
      <c r="Q148" s="17">
        <v>2.3074009369107799E-2</v>
      </c>
      <c r="R148" s="17">
        <v>2.9452786480746E-2</v>
      </c>
      <c r="S148" s="17">
        <v>1.08470813696795E-2</v>
      </c>
      <c r="T148" s="17">
        <v>1.4359718822163799E-2</v>
      </c>
      <c r="U148" s="17">
        <v>1.93887102137917E-2</v>
      </c>
      <c r="V148" s="17">
        <v>2.4411979721707E-2</v>
      </c>
      <c r="W148" s="17"/>
      <c r="X148" s="17">
        <v>1.7990165868098599E-2</v>
      </c>
      <c r="Y148" s="17">
        <v>2.6710815227138501E-2</v>
      </c>
    </row>
    <row r="149" spans="2:25" x14ac:dyDescent="0.35">
      <c r="B149" t="s">
        <v>69</v>
      </c>
      <c r="C149" s="17">
        <v>4.5370488408493304E-3</v>
      </c>
      <c r="D149" s="17">
        <v>2.1050141215412099E-3</v>
      </c>
      <c r="E149" s="17">
        <v>6.8451759783924801E-3</v>
      </c>
      <c r="F149" s="17"/>
      <c r="G149" s="17">
        <v>5.2071111590018702E-3</v>
      </c>
      <c r="H149" s="17">
        <v>3.18269477572949E-3</v>
      </c>
      <c r="I149" s="17">
        <v>4.3319835392285899E-3</v>
      </c>
      <c r="J149" s="17">
        <v>5.9512145932056303E-3</v>
      </c>
      <c r="K149" s="17">
        <v>5.4573226121016399E-3</v>
      </c>
      <c r="L149" s="17">
        <v>3.6492405033005E-3</v>
      </c>
      <c r="M149" s="17"/>
      <c r="N149" s="17">
        <v>0</v>
      </c>
      <c r="O149" s="17">
        <v>4.17056066256518E-3</v>
      </c>
      <c r="P149" s="17">
        <v>2.1294670852953601E-3</v>
      </c>
      <c r="Q149" s="17">
        <v>6.7800408632533596E-3</v>
      </c>
      <c r="R149" s="17">
        <v>7.6027423432296097E-3</v>
      </c>
      <c r="S149" s="17">
        <v>3.6794636021854499E-3</v>
      </c>
      <c r="T149" s="17">
        <v>1.6273456797942099E-3</v>
      </c>
      <c r="U149" s="17">
        <v>4.6451770429074297E-3</v>
      </c>
      <c r="V149" s="17">
        <v>8.9548421258289906E-3</v>
      </c>
      <c r="W149" s="17"/>
      <c r="X149" s="17">
        <v>2.7213093395414001E-3</v>
      </c>
      <c r="Y149" s="17">
        <v>5.5419759975492101E-3</v>
      </c>
    </row>
    <row r="150" spans="2:25" x14ac:dyDescent="0.35">
      <c r="B150" t="s">
        <v>135</v>
      </c>
      <c r="C150" s="17">
        <v>0.78569437283639099</v>
      </c>
      <c r="D150" s="17">
        <v>0.79638323799497701</v>
      </c>
      <c r="E150" s="17">
        <v>0.77624911590424295</v>
      </c>
      <c r="F150" s="17"/>
      <c r="G150" s="17">
        <v>0.77973098466819502</v>
      </c>
      <c r="H150" s="17">
        <v>0.79279083040250697</v>
      </c>
      <c r="I150" s="17">
        <v>0.77256897431926697</v>
      </c>
      <c r="J150" s="17">
        <v>0.79151254726263698</v>
      </c>
      <c r="K150" s="17">
        <v>0.782830694866405</v>
      </c>
      <c r="L150" s="17">
        <v>0.79003989716825196</v>
      </c>
      <c r="M150" s="17"/>
      <c r="N150" s="17">
        <v>0.83241029613925599</v>
      </c>
      <c r="O150" s="17">
        <v>0.84667100546037999</v>
      </c>
      <c r="P150" s="17">
        <v>0.73843450908566899</v>
      </c>
      <c r="Q150" s="17">
        <v>0.72841883153507003</v>
      </c>
      <c r="R150" s="17">
        <v>0.70433898807756401</v>
      </c>
      <c r="S150" s="17">
        <v>0.85944016274730595</v>
      </c>
      <c r="T150" s="17">
        <v>0.77295102713031305</v>
      </c>
      <c r="U150" s="17">
        <v>0.868520190275899</v>
      </c>
      <c r="V150" s="17">
        <v>0.83425377358470998</v>
      </c>
      <c r="W150" s="17"/>
      <c r="X150" s="17">
        <v>0.81454809969002295</v>
      </c>
      <c r="Y150" s="17">
        <v>0.76972518030281001</v>
      </c>
    </row>
    <row r="151" spans="2:25" x14ac:dyDescent="0.35">
      <c r="B151" t="s">
        <v>136</v>
      </c>
      <c r="C151" s="17">
        <v>9.8165657731210096E-2</v>
      </c>
      <c r="D151" s="17">
        <v>9.4775070010607004E-2</v>
      </c>
      <c r="E151" s="17">
        <v>0.10143659133598</v>
      </c>
      <c r="F151" s="17"/>
      <c r="G151" s="17">
        <v>0.116147680491075</v>
      </c>
      <c r="H151" s="17">
        <v>9.8059981049443995E-2</v>
      </c>
      <c r="I151" s="17">
        <v>9.2386467652671403E-2</v>
      </c>
      <c r="J151" s="17">
        <v>9.9868147271307398E-2</v>
      </c>
      <c r="K151" s="17">
        <v>8.8589043684642793E-2</v>
      </c>
      <c r="L151" s="17">
        <v>0.100379642948218</v>
      </c>
      <c r="M151" s="17"/>
      <c r="N151" s="17">
        <v>8.7933981102492606E-2</v>
      </c>
      <c r="O151" s="17">
        <v>8.4294785748205203E-2</v>
      </c>
      <c r="P151" s="17">
        <v>0.122235988585312</v>
      </c>
      <c r="Q151" s="17">
        <v>0.130626863241847</v>
      </c>
      <c r="R151" s="17">
        <v>0.13815384572457101</v>
      </c>
      <c r="S151" s="17">
        <v>5.4569706356763302E-2</v>
      </c>
      <c r="T151" s="17">
        <v>9.1595111435480797E-2</v>
      </c>
      <c r="U151" s="17">
        <v>7.1448703423710194E-2</v>
      </c>
      <c r="V151" s="17">
        <v>6.2453147107978099E-2</v>
      </c>
      <c r="W151" s="17"/>
      <c r="X151" s="17">
        <v>8.0793168269849697E-2</v>
      </c>
      <c r="Y151" s="17">
        <v>0.107780520670871</v>
      </c>
    </row>
    <row r="152" spans="2:25" x14ac:dyDescent="0.35">
      <c r="B152" t="s">
        <v>92</v>
      </c>
      <c r="C152" s="17">
        <v>0.68752871510518099</v>
      </c>
      <c r="D152" s="17">
        <v>0.70160816798436998</v>
      </c>
      <c r="E152" s="17">
        <v>0.67481252456826302</v>
      </c>
      <c r="F152" s="17"/>
      <c r="G152" s="17">
        <v>0.66358330417711997</v>
      </c>
      <c r="H152" s="17">
        <v>0.69473084935306295</v>
      </c>
      <c r="I152" s="17">
        <v>0.68018250666659597</v>
      </c>
      <c r="J152" s="17">
        <v>0.69164439999132898</v>
      </c>
      <c r="K152" s="17">
        <v>0.69424165118176195</v>
      </c>
      <c r="L152" s="17">
        <v>0.68966025422003396</v>
      </c>
      <c r="M152" s="17"/>
      <c r="N152" s="17">
        <v>0.74447631503676404</v>
      </c>
      <c r="O152" s="17">
        <v>0.76237621971217495</v>
      </c>
      <c r="P152" s="17">
        <v>0.61619852050035695</v>
      </c>
      <c r="Q152" s="17">
        <v>0.59779196829322401</v>
      </c>
      <c r="R152" s="17">
        <v>0.566185142352993</v>
      </c>
      <c r="S152" s="17">
        <v>0.804870456390542</v>
      </c>
      <c r="T152" s="17">
        <v>0.681355915694833</v>
      </c>
      <c r="U152" s="17">
        <v>0.79707148685218898</v>
      </c>
      <c r="V152" s="17">
        <v>0.77180062647673198</v>
      </c>
      <c r="W152" s="17"/>
      <c r="X152" s="17">
        <v>0.73375493142017401</v>
      </c>
      <c r="Y152" s="17">
        <v>0.66194465963193905</v>
      </c>
    </row>
    <row r="153" spans="2:25" x14ac:dyDescent="0.35">
      <c r="C153" s="17"/>
      <c r="D153" s="17"/>
      <c r="E153" s="17"/>
      <c r="F153" s="17"/>
      <c r="G153" s="17"/>
      <c r="H153" s="17"/>
      <c r="I153" s="17"/>
      <c r="J153" s="17"/>
      <c r="K153" s="17"/>
      <c r="L153" s="17"/>
      <c r="M153" s="17"/>
      <c r="N153" s="17"/>
      <c r="O153" s="17"/>
      <c r="P153" s="17"/>
      <c r="Q153" s="17"/>
      <c r="R153" s="17"/>
      <c r="S153" s="17"/>
      <c r="T153" s="17"/>
      <c r="U153" s="17"/>
      <c r="V153" s="17"/>
      <c r="W153" s="17"/>
      <c r="X153" s="17"/>
      <c r="Y153" s="17"/>
    </row>
    <row r="154" spans="2:25" x14ac:dyDescent="0.35">
      <c r="B154" s="6" t="s">
        <v>139</v>
      </c>
      <c r="C154" s="17"/>
      <c r="D154" s="17"/>
      <c r="E154" s="17"/>
      <c r="F154" s="17"/>
      <c r="G154" s="17"/>
      <c r="H154" s="17"/>
      <c r="I154" s="17"/>
      <c r="J154" s="17"/>
      <c r="K154" s="17"/>
      <c r="L154" s="17"/>
      <c r="M154" s="17"/>
      <c r="N154" s="17"/>
      <c r="O154" s="17"/>
      <c r="P154" s="17"/>
      <c r="Q154" s="17"/>
      <c r="R154" s="17"/>
      <c r="S154" s="17"/>
      <c r="T154" s="17"/>
      <c r="U154" s="17"/>
      <c r="V154" s="17"/>
      <c r="W154" s="17"/>
      <c r="X154" s="17"/>
      <c r="Y154" s="17"/>
    </row>
    <row r="155" spans="2:25" x14ac:dyDescent="0.35">
      <c r="B155" s="24" t="s">
        <v>50</v>
      </c>
      <c r="C155" s="17"/>
      <c r="D155" s="17"/>
      <c r="E155" s="17"/>
      <c r="F155" s="17"/>
      <c r="G155" s="17"/>
      <c r="H155" s="17"/>
      <c r="I155" s="17"/>
      <c r="J155" s="17"/>
      <c r="K155" s="17"/>
      <c r="L155" s="17"/>
      <c r="M155" s="17"/>
      <c r="N155" s="17"/>
      <c r="O155" s="17"/>
      <c r="P155" s="17"/>
      <c r="Q155" s="17"/>
      <c r="R155" s="17"/>
      <c r="S155" s="17"/>
      <c r="T155" s="17"/>
      <c r="U155" s="17"/>
      <c r="V155" s="17"/>
      <c r="W155" s="17"/>
      <c r="X155" s="17"/>
      <c r="Y155" s="17"/>
    </row>
    <row r="156" spans="2:25" x14ac:dyDescent="0.35">
      <c r="B156" t="s">
        <v>130</v>
      </c>
      <c r="C156" s="17">
        <v>0.111003042822131</v>
      </c>
      <c r="D156" s="17">
        <v>0.114028085403365</v>
      </c>
      <c r="E156" s="17">
        <v>0.108343110357384</v>
      </c>
      <c r="F156" s="17"/>
      <c r="G156" s="17">
        <v>0.131953657245236</v>
      </c>
      <c r="H156" s="17">
        <v>0.14685464611995699</v>
      </c>
      <c r="I156" s="17">
        <v>0.129580837555371</v>
      </c>
      <c r="J156" s="17">
        <v>0.116832650079592</v>
      </c>
      <c r="K156" s="17">
        <v>8.7634765055552205E-2</v>
      </c>
      <c r="L156" s="17">
        <v>8.1463750107214697E-2</v>
      </c>
      <c r="M156" s="17"/>
      <c r="N156" s="17">
        <v>0.173299700512734</v>
      </c>
      <c r="O156" s="17">
        <v>0.119223678124434</v>
      </c>
      <c r="P156" s="17">
        <v>8.4549178142163894E-2</v>
      </c>
      <c r="Q156" s="17">
        <v>7.9949333459106195E-2</v>
      </c>
      <c r="R156" s="17">
        <v>6.6065980707109007E-2</v>
      </c>
      <c r="S156" s="17">
        <v>0.220028016731175</v>
      </c>
      <c r="T156" s="17">
        <v>8.0815484447661498E-2</v>
      </c>
      <c r="U156" s="17">
        <v>0.12177819050863101</v>
      </c>
      <c r="V156" s="17">
        <v>0.105853528075565</v>
      </c>
      <c r="W156" s="17"/>
      <c r="X156" s="17">
        <v>0.12664644420309201</v>
      </c>
      <c r="Y156" s="17">
        <v>0.10234650814668</v>
      </c>
    </row>
    <row r="157" spans="2:25" x14ac:dyDescent="0.35">
      <c r="B157" t="s">
        <v>131</v>
      </c>
      <c r="C157" s="17">
        <v>0.42895733107995498</v>
      </c>
      <c r="D157" s="17">
        <v>0.421141355504079</v>
      </c>
      <c r="E157" s="17">
        <v>0.43597655305886002</v>
      </c>
      <c r="F157" s="17"/>
      <c r="G157" s="17">
        <v>0.47808553182796998</v>
      </c>
      <c r="H157" s="17">
        <v>0.458653589142688</v>
      </c>
      <c r="I157" s="17">
        <v>0.451232854760518</v>
      </c>
      <c r="J157" s="17">
        <v>0.44777714820820702</v>
      </c>
      <c r="K157" s="17">
        <v>0.42342749883963199</v>
      </c>
      <c r="L157" s="17">
        <v>0.369585337725715</v>
      </c>
      <c r="M157" s="17"/>
      <c r="N157" s="17">
        <v>0.51137881298569898</v>
      </c>
      <c r="O157" s="17">
        <v>0.488681694053547</v>
      </c>
      <c r="P157" s="17">
        <v>0.43080866877867502</v>
      </c>
      <c r="Q157" s="17">
        <v>0.38704060485253</v>
      </c>
      <c r="R157" s="17">
        <v>0.45070309211586801</v>
      </c>
      <c r="S157" s="17">
        <v>0.43587322930599998</v>
      </c>
      <c r="T157" s="17">
        <v>0.38873236686318702</v>
      </c>
      <c r="U157" s="17">
        <v>0.48331514413517801</v>
      </c>
      <c r="V157" s="17">
        <v>0.34972524115945203</v>
      </c>
      <c r="W157" s="17"/>
      <c r="X157" s="17">
        <v>0.44040798163713901</v>
      </c>
      <c r="Y157" s="17">
        <v>0.42262092436182502</v>
      </c>
    </row>
    <row r="158" spans="2:25" x14ac:dyDescent="0.35">
      <c r="B158" t="s">
        <v>132</v>
      </c>
      <c r="C158" s="17">
        <v>0.24059321777684001</v>
      </c>
      <c r="D158" s="17">
        <v>0.25115854375513003</v>
      </c>
      <c r="E158" s="17">
        <v>0.23127144926455501</v>
      </c>
      <c r="F158" s="17"/>
      <c r="G158" s="17">
        <v>0.22079426824079501</v>
      </c>
      <c r="H158" s="17">
        <v>0.22238280993086801</v>
      </c>
      <c r="I158" s="17">
        <v>0.24053233572642399</v>
      </c>
      <c r="J158" s="17">
        <v>0.24859924786778601</v>
      </c>
      <c r="K158" s="17">
        <v>0.26550121762863299</v>
      </c>
      <c r="L158" s="17">
        <v>0.2369148319106</v>
      </c>
      <c r="M158" s="17"/>
      <c r="N158" s="17">
        <v>0.21112683905153901</v>
      </c>
      <c r="O158" s="17">
        <v>0.201395598562709</v>
      </c>
      <c r="P158" s="17">
        <v>0.22466553485177401</v>
      </c>
      <c r="Q158" s="17">
        <v>0.26308626903641502</v>
      </c>
      <c r="R158" s="17">
        <v>0.28050720889067898</v>
      </c>
      <c r="S158" s="17">
        <v>0.17313392665338401</v>
      </c>
      <c r="T158" s="17">
        <v>0.30372775655699802</v>
      </c>
      <c r="U158" s="17">
        <v>0.18471994879687101</v>
      </c>
      <c r="V158" s="17">
        <v>0.30967088022355799</v>
      </c>
      <c r="W158" s="17"/>
      <c r="X158" s="17">
        <v>0.22717061409318601</v>
      </c>
      <c r="Y158" s="17">
        <v>0.24802083734580399</v>
      </c>
    </row>
    <row r="159" spans="2:25" x14ac:dyDescent="0.35">
      <c r="B159" t="s">
        <v>133</v>
      </c>
      <c r="C159" s="17">
        <v>0.110889868038153</v>
      </c>
      <c r="D159" s="17">
        <v>0.11825063752555801</v>
      </c>
      <c r="E159" s="17">
        <v>0.10364283831198499</v>
      </c>
      <c r="F159" s="17"/>
      <c r="G159" s="17">
        <v>0.120001893448497</v>
      </c>
      <c r="H159" s="17">
        <v>0.127589708480668</v>
      </c>
      <c r="I159" s="17">
        <v>0.11410302887432699</v>
      </c>
      <c r="J159" s="17">
        <v>0.102889523877999</v>
      </c>
      <c r="K159" s="17">
        <v>0.100329599744581</v>
      </c>
      <c r="L159" s="17">
        <v>0.107969712357213</v>
      </c>
      <c r="M159" s="17"/>
      <c r="N159" s="17">
        <v>6.4014231725023393E-2</v>
      </c>
      <c r="O159" s="17">
        <v>0.108526398858835</v>
      </c>
      <c r="P159" s="17">
        <v>0.11935331843663601</v>
      </c>
      <c r="Q159" s="17">
        <v>0.15036619978844001</v>
      </c>
      <c r="R159" s="17">
        <v>0.11369180516319501</v>
      </c>
      <c r="S159" s="17">
        <v>4.6331063136793402E-2</v>
      </c>
      <c r="T159" s="17">
        <v>0.11262440743881599</v>
      </c>
      <c r="U159" s="17">
        <v>0.13441397039202799</v>
      </c>
      <c r="V159" s="17">
        <v>0.108335330480705</v>
      </c>
      <c r="W159" s="17"/>
      <c r="X159" s="17">
        <v>0.120152933871183</v>
      </c>
      <c r="Y159" s="17">
        <v>0.10576399747894</v>
      </c>
    </row>
    <row r="160" spans="2:25" x14ac:dyDescent="0.35">
      <c r="B160" t="s">
        <v>134</v>
      </c>
      <c r="C160" s="17">
        <v>2.56791639038337E-2</v>
      </c>
      <c r="D160" s="17">
        <v>2.8767232952590201E-2</v>
      </c>
      <c r="E160" s="17">
        <v>2.2874806749289101E-2</v>
      </c>
      <c r="F160" s="17"/>
      <c r="G160" s="17">
        <v>3.0051212352336001E-2</v>
      </c>
      <c r="H160" s="17">
        <v>1.7085772610489099E-2</v>
      </c>
      <c r="I160" s="17">
        <v>2.5996344382839799E-2</v>
      </c>
      <c r="J160" s="17">
        <v>2.78579836587899E-2</v>
      </c>
      <c r="K160" s="17">
        <v>2.3333241653370598E-2</v>
      </c>
      <c r="L160" s="17">
        <v>2.8991060178785999E-2</v>
      </c>
      <c r="M160" s="17"/>
      <c r="N160" s="17">
        <v>1.01125060909506E-2</v>
      </c>
      <c r="O160" s="17">
        <v>6.0226829969328996E-3</v>
      </c>
      <c r="P160" s="17">
        <v>2.5344214183943201E-2</v>
      </c>
      <c r="Q160" s="17">
        <v>3.9390624853003903E-2</v>
      </c>
      <c r="R160" s="17">
        <v>3.2800183922537501E-2</v>
      </c>
      <c r="S160" s="17">
        <v>1.43714140724317E-2</v>
      </c>
      <c r="T160" s="17">
        <v>1.8796391169938899E-2</v>
      </c>
      <c r="U160" s="17">
        <v>3.2268497637108803E-2</v>
      </c>
      <c r="V160" s="17">
        <v>2.1501440963393199E-2</v>
      </c>
      <c r="W160" s="17"/>
      <c r="X160" s="17">
        <v>2.5327255951507099E-2</v>
      </c>
      <c r="Y160" s="17">
        <v>2.58738979848494E-2</v>
      </c>
    </row>
    <row r="161" spans="2:25" x14ac:dyDescent="0.35">
      <c r="B161" t="s">
        <v>69</v>
      </c>
      <c r="C161" s="17">
        <v>8.2877376379087805E-2</v>
      </c>
      <c r="D161" s="17">
        <v>6.6654144859277203E-2</v>
      </c>
      <c r="E161" s="17">
        <v>9.7891242257926406E-2</v>
      </c>
      <c r="F161" s="17"/>
      <c r="G161" s="17">
        <v>1.9113436885165699E-2</v>
      </c>
      <c r="H161" s="17">
        <v>2.74334737153289E-2</v>
      </c>
      <c r="I161" s="17">
        <v>3.8554598700519603E-2</v>
      </c>
      <c r="J161" s="17">
        <v>5.6043446307625498E-2</v>
      </c>
      <c r="K161" s="17">
        <v>9.9773677078231607E-2</v>
      </c>
      <c r="L161" s="17">
        <v>0.175075307720471</v>
      </c>
      <c r="M161" s="17"/>
      <c r="N161" s="17">
        <v>3.0067909634053001E-2</v>
      </c>
      <c r="O161" s="17">
        <v>7.6149947403542598E-2</v>
      </c>
      <c r="P161" s="17">
        <v>0.115279085606809</v>
      </c>
      <c r="Q161" s="17">
        <v>8.0166968010505504E-2</v>
      </c>
      <c r="R161" s="17">
        <v>5.6231729200611501E-2</v>
      </c>
      <c r="S161" s="17">
        <v>0.110262350100216</v>
      </c>
      <c r="T161" s="17">
        <v>9.5303593523399094E-2</v>
      </c>
      <c r="U161" s="17">
        <v>4.3504248530183601E-2</v>
      </c>
      <c r="V161" s="17">
        <v>0.104913579097327</v>
      </c>
      <c r="W161" s="17"/>
      <c r="X161" s="17">
        <v>6.0294770243893597E-2</v>
      </c>
      <c r="Y161" s="17">
        <v>9.5373834681901901E-2</v>
      </c>
    </row>
    <row r="162" spans="2:25" x14ac:dyDescent="0.35">
      <c r="B162" t="s">
        <v>135</v>
      </c>
      <c r="C162" s="17">
        <v>0.53996037390208595</v>
      </c>
      <c r="D162" s="17">
        <v>0.535169440907445</v>
      </c>
      <c r="E162" s="17">
        <v>0.54431966341624405</v>
      </c>
      <c r="F162" s="17"/>
      <c r="G162" s="17">
        <v>0.61003918907320698</v>
      </c>
      <c r="H162" s="17">
        <v>0.60550823526264597</v>
      </c>
      <c r="I162" s="17">
        <v>0.58081369231588897</v>
      </c>
      <c r="J162" s="17">
        <v>0.564609798287799</v>
      </c>
      <c r="K162" s="17">
        <v>0.51106226389518405</v>
      </c>
      <c r="L162" s="17">
        <v>0.45104908783293002</v>
      </c>
      <c r="M162" s="17"/>
      <c r="N162" s="17">
        <v>0.68467851349843301</v>
      </c>
      <c r="O162" s="17">
        <v>0.60790537217798102</v>
      </c>
      <c r="P162" s="17">
        <v>0.51535784692083897</v>
      </c>
      <c r="Q162" s="17">
        <v>0.46698993831163599</v>
      </c>
      <c r="R162" s="17">
        <v>0.51676907282297702</v>
      </c>
      <c r="S162" s="17">
        <v>0.65590124603717503</v>
      </c>
      <c r="T162" s="17">
        <v>0.46954785131084897</v>
      </c>
      <c r="U162" s="17">
        <v>0.60509333464380899</v>
      </c>
      <c r="V162" s="17">
        <v>0.455578769235017</v>
      </c>
      <c r="W162" s="17"/>
      <c r="X162" s="17">
        <v>0.56705442584023003</v>
      </c>
      <c r="Y162" s="17">
        <v>0.52496743250850497</v>
      </c>
    </row>
    <row r="163" spans="2:25" x14ac:dyDescent="0.35">
      <c r="B163" t="s">
        <v>136</v>
      </c>
      <c r="C163" s="17">
        <v>0.136569031941986</v>
      </c>
      <c r="D163" s="17">
        <v>0.14701787047814799</v>
      </c>
      <c r="E163" s="17">
        <v>0.126517645061274</v>
      </c>
      <c r="F163" s="17"/>
      <c r="G163" s="17">
        <v>0.150053105800833</v>
      </c>
      <c r="H163" s="17">
        <v>0.14467548109115699</v>
      </c>
      <c r="I163" s="17">
        <v>0.14009937325716701</v>
      </c>
      <c r="J163" s="17">
        <v>0.13074750753678899</v>
      </c>
      <c r="K163" s="17">
        <v>0.123662841397952</v>
      </c>
      <c r="L163" s="17">
        <v>0.136960772535999</v>
      </c>
      <c r="M163" s="17"/>
      <c r="N163" s="17">
        <v>7.4126737815973898E-2</v>
      </c>
      <c r="O163" s="17">
        <v>0.114549081855768</v>
      </c>
      <c r="P163" s="17">
        <v>0.14469753262057899</v>
      </c>
      <c r="Q163" s="17">
        <v>0.189756824641444</v>
      </c>
      <c r="R163" s="17">
        <v>0.14649198908573199</v>
      </c>
      <c r="S163" s="17">
        <v>6.07024772092251E-2</v>
      </c>
      <c r="T163" s="17">
        <v>0.131420798608754</v>
      </c>
      <c r="U163" s="17">
        <v>0.166682468029136</v>
      </c>
      <c r="V163" s="17">
        <v>0.129836771444098</v>
      </c>
      <c r="W163" s="17"/>
      <c r="X163" s="17">
        <v>0.14548018982269001</v>
      </c>
      <c r="Y163" s="17">
        <v>0.13163789546379001</v>
      </c>
    </row>
    <row r="164" spans="2:25" x14ac:dyDescent="0.35">
      <c r="B164" t="s">
        <v>92</v>
      </c>
      <c r="C164" s="17">
        <v>0.40339134196010001</v>
      </c>
      <c r="D164" s="17">
        <v>0.38815157042929699</v>
      </c>
      <c r="E164" s="17">
        <v>0.41780201835497</v>
      </c>
      <c r="F164" s="17"/>
      <c r="G164" s="17">
        <v>0.459986083272374</v>
      </c>
      <c r="H164" s="17">
        <v>0.460832754171488</v>
      </c>
      <c r="I164" s="17">
        <v>0.44071431905872199</v>
      </c>
      <c r="J164" s="17">
        <v>0.43386229075101101</v>
      </c>
      <c r="K164" s="17">
        <v>0.38739942249723203</v>
      </c>
      <c r="L164" s="17">
        <v>0.31408831529693099</v>
      </c>
      <c r="M164" s="17"/>
      <c r="N164" s="17">
        <v>0.61055177568246</v>
      </c>
      <c r="O164" s="17">
        <v>0.49335629032221301</v>
      </c>
      <c r="P164" s="17">
        <v>0.37066031430025997</v>
      </c>
      <c r="Q164" s="17">
        <v>0.27723311367019099</v>
      </c>
      <c r="R164" s="17">
        <v>0.37027708373724499</v>
      </c>
      <c r="S164" s="17">
        <v>0.59519876882794998</v>
      </c>
      <c r="T164" s="17">
        <v>0.33812705270209398</v>
      </c>
      <c r="U164" s="17">
        <v>0.43841086661467299</v>
      </c>
      <c r="V164" s="17">
        <v>0.325741997790919</v>
      </c>
      <c r="W164" s="17"/>
      <c r="X164" s="17">
        <v>0.42157423601754002</v>
      </c>
      <c r="Y164" s="17">
        <v>0.39332953704471502</v>
      </c>
    </row>
    <row r="165" spans="2:25" x14ac:dyDescent="0.35">
      <c r="C165" s="17"/>
      <c r="D165" s="17"/>
      <c r="E165" s="17"/>
      <c r="F165" s="17"/>
      <c r="G165" s="17"/>
      <c r="H165" s="17"/>
      <c r="I165" s="17"/>
      <c r="J165" s="17"/>
      <c r="K165" s="17"/>
      <c r="L165" s="17"/>
      <c r="M165" s="17"/>
      <c r="N165" s="17"/>
      <c r="O165" s="17"/>
      <c r="P165" s="17"/>
      <c r="Q165" s="17"/>
      <c r="R165" s="17"/>
      <c r="S165" s="17"/>
      <c r="T165" s="17"/>
      <c r="U165" s="17"/>
      <c r="V165" s="17"/>
      <c r="W165" s="17"/>
      <c r="X165" s="17"/>
      <c r="Y165" s="17"/>
    </row>
    <row r="166" spans="2:25" x14ac:dyDescent="0.35">
      <c r="B166" s="6" t="s">
        <v>140</v>
      </c>
      <c r="C166" s="17"/>
      <c r="D166" s="17"/>
      <c r="E166" s="17"/>
      <c r="F166" s="17"/>
      <c r="G166" s="17"/>
      <c r="H166" s="17"/>
      <c r="I166" s="17"/>
      <c r="J166" s="17"/>
      <c r="K166" s="17"/>
      <c r="L166" s="17"/>
      <c r="M166" s="17"/>
      <c r="N166" s="17"/>
      <c r="O166" s="17"/>
      <c r="P166" s="17"/>
      <c r="Q166" s="17"/>
      <c r="R166" s="17"/>
      <c r="S166" s="17"/>
      <c r="T166" s="17"/>
      <c r="U166" s="17"/>
      <c r="V166" s="17"/>
      <c r="W166" s="17"/>
      <c r="X166" s="17"/>
      <c r="Y166" s="17"/>
    </row>
    <row r="167" spans="2:25" x14ac:dyDescent="0.35">
      <c r="B167" s="24" t="s">
        <v>532</v>
      </c>
      <c r="C167" s="17"/>
      <c r="D167" s="17"/>
      <c r="E167" s="17"/>
      <c r="F167" s="17"/>
      <c r="G167" s="17"/>
      <c r="H167" s="17"/>
      <c r="I167" s="17"/>
      <c r="J167" s="17"/>
      <c r="K167" s="17"/>
      <c r="L167" s="17"/>
      <c r="M167" s="17"/>
      <c r="N167" s="17"/>
      <c r="O167" s="17"/>
      <c r="P167" s="17"/>
      <c r="Q167" s="17"/>
      <c r="R167" s="17"/>
      <c r="S167" s="17"/>
      <c r="T167" s="17"/>
      <c r="U167" s="17"/>
      <c r="V167" s="17"/>
      <c r="W167" s="17"/>
      <c r="X167" s="17"/>
      <c r="Y167" s="17"/>
    </row>
    <row r="168" spans="2:25" x14ac:dyDescent="0.35">
      <c r="B168" t="s">
        <v>130</v>
      </c>
      <c r="C168" s="17">
        <v>0.28021400607568703</v>
      </c>
      <c r="D168" s="17">
        <v>0.29280879496011503</v>
      </c>
      <c r="E168" s="17">
        <v>0.266453370786982</v>
      </c>
      <c r="F168" s="17"/>
      <c r="G168" s="17">
        <v>0.28770515133844499</v>
      </c>
      <c r="H168" s="17">
        <v>0.27377569315788097</v>
      </c>
      <c r="I168" s="17">
        <v>0.28471895597811903</v>
      </c>
      <c r="J168" s="17">
        <v>0.27762685142124899</v>
      </c>
      <c r="K168" s="17">
        <v>0.29186327184646699</v>
      </c>
      <c r="L168" s="17">
        <v>0.24849734472562501</v>
      </c>
      <c r="M168" s="17"/>
      <c r="N168" s="17">
        <v>0.35605302541101203</v>
      </c>
      <c r="O168" s="17">
        <v>0.25658275726096302</v>
      </c>
      <c r="P168" s="17">
        <v>0.25907026593479099</v>
      </c>
      <c r="Q168" s="17">
        <v>0.25480607722031001</v>
      </c>
      <c r="R168" s="17">
        <v>0.20918852449417499</v>
      </c>
      <c r="S168" s="17">
        <v>0.35551637537702802</v>
      </c>
      <c r="T168" s="17">
        <v>0.19144845005166999</v>
      </c>
      <c r="U168" s="17">
        <v>0.35064595708075802</v>
      </c>
      <c r="V168" s="17">
        <v>0.39989435438336302</v>
      </c>
      <c r="W168" s="17"/>
      <c r="X168" s="17">
        <v>0.33221484071618601</v>
      </c>
      <c r="Y168" s="17">
        <v>0.23769770651198099</v>
      </c>
    </row>
    <row r="169" spans="2:25" x14ac:dyDescent="0.35">
      <c r="B169" t="s">
        <v>131</v>
      </c>
      <c r="C169" s="17">
        <v>0.46024914075912399</v>
      </c>
      <c r="D169" s="17">
        <v>0.44872236418642097</v>
      </c>
      <c r="E169" s="17">
        <v>0.474901371661622</v>
      </c>
      <c r="F169" s="17"/>
      <c r="G169" s="17">
        <v>0.443582442791915</v>
      </c>
      <c r="H169" s="17">
        <v>0.47039534102087099</v>
      </c>
      <c r="I169" s="17">
        <v>0.45563517529499298</v>
      </c>
      <c r="J169" s="17">
        <v>0.47374942503802697</v>
      </c>
      <c r="K169" s="17">
        <v>0.44470435216574</v>
      </c>
      <c r="L169" s="17">
        <v>0.45099678430141599</v>
      </c>
      <c r="M169" s="17"/>
      <c r="N169" s="17">
        <v>0.40824253674468702</v>
      </c>
      <c r="O169" s="17">
        <v>0.56675236852266897</v>
      </c>
      <c r="P169" s="17">
        <v>0.46257754671152701</v>
      </c>
      <c r="Q169" s="17">
        <v>0.44941401001909997</v>
      </c>
      <c r="R169" s="17">
        <v>0.49880861283108802</v>
      </c>
      <c r="S169" s="17">
        <v>0.43145695353108898</v>
      </c>
      <c r="T169" s="17">
        <v>0.50583831967874304</v>
      </c>
      <c r="U169" s="17">
        <v>0.42390661537649099</v>
      </c>
      <c r="V169" s="17">
        <v>0.41459955470021398</v>
      </c>
      <c r="W169" s="17"/>
      <c r="X169" s="17">
        <v>0.452701193189121</v>
      </c>
      <c r="Y169" s="17">
        <v>0.46642040324358103</v>
      </c>
    </row>
    <row r="170" spans="2:25" x14ac:dyDescent="0.35">
      <c r="B170" t="s">
        <v>132</v>
      </c>
      <c r="C170" s="17">
        <v>0.140937258257682</v>
      </c>
      <c r="D170" s="17">
        <v>0.14441542937085899</v>
      </c>
      <c r="E170" s="17">
        <v>0.13510511075207901</v>
      </c>
      <c r="F170" s="17"/>
      <c r="G170" s="17">
        <v>0.17713196121177099</v>
      </c>
      <c r="H170" s="17">
        <v>0.14253857005161899</v>
      </c>
      <c r="I170" s="17">
        <v>0.144117424151191</v>
      </c>
      <c r="J170" s="17">
        <v>0.116054506182619</v>
      </c>
      <c r="K170" s="17">
        <v>0.146017764060455</v>
      </c>
      <c r="L170" s="17">
        <v>0.16775410350703501</v>
      </c>
      <c r="M170" s="17"/>
      <c r="N170" s="17">
        <v>0.13984891121662299</v>
      </c>
      <c r="O170" s="17">
        <v>0.104586956554877</v>
      </c>
      <c r="P170" s="17">
        <v>0.10806795620812699</v>
      </c>
      <c r="Q170" s="17">
        <v>0.164016875359143</v>
      </c>
      <c r="R170" s="17">
        <v>0.180435383069075</v>
      </c>
      <c r="S170" s="17">
        <v>0.120304016370762</v>
      </c>
      <c r="T170" s="17">
        <v>0.17119603773070999</v>
      </c>
      <c r="U170" s="17">
        <v>0.12657015802478999</v>
      </c>
      <c r="V170" s="17">
        <v>9.6255566149116803E-2</v>
      </c>
      <c r="W170" s="17"/>
      <c r="X170" s="17">
        <v>0.12169498306498901</v>
      </c>
      <c r="Y170" s="17">
        <v>0.15666989682080801</v>
      </c>
    </row>
    <row r="171" spans="2:25" x14ac:dyDescent="0.35">
      <c r="B171" t="s">
        <v>133</v>
      </c>
      <c r="C171" s="17">
        <v>6.2671932290242094E-2</v>
      </c>
      <c r="D171" s="17">
        <v>5.9969723258412801E-2</v>
      </c>
      <c r="E171" s="17">
        <v>6.5751892957493993E-2</v>
      </c>
      <c r="F171" s="17"/>
      <c r="G171" s="17">
        <v>4.54255143063301E-2</v>
      </c>
      <c r="H171" s="17">
        <v>6.7129265024690299E-2</v>
      </c>
      <c r="I171" s="17">
        <v>6.99767564469915E-2</v>
      </c>
      <c r="J171" s="17">
        <v>6.7057464171963094E-2</v>
      </c>
      <c r="K171" s="17">
        <v>5.2580766874429599E-2</v>
      </c>
      <c r="L171" s="17">
        <v>4.6493085472355998E-2</v>
      </c>
      <c r="M171" s="17"/>
      <c r="N171" s="17">
        <v>3.07322599687345E-2</v>
      </c>
      <c r="O171" s="17">
        <v>3.05134609522398E-2</v>
      </c>
      <c r="P171" s="17">
        <v>7.6573510503386594E-2</v>
      </c>
      <c r="Q171" s="17">
        <v>7.18243529347177E-2</v>
      </c>
      <c r="R171" s="17">
        <v>7.4163996526962206E-2</v>
      </c>
      <c r="S171" s="17">
        <v>3.6773745447860301E-2</v>
      </c>
      <c r="T171" s="17">
        <v>7.7190927175242702E-2</v>
      </c>
      <c r="U171" s="17">
        <v>5.0238635281136597E-2</v>
      </c>
      <c r="V171" s="17">
        <v>6.7698524798479306E-2</v>
      </c>
      <c r="W171" s="17"/>
      <c r="X171" s="17">
        <v>6.3287631956490301E-2</v>
      </c>
      <c r="Y171" s="17">
        <v>6.2168531303845198E-2</v>
      </c>
    </row>
    <row r="172" spans="2:25" x14ac:dyDescent="0.35">
      <c r="B172" t="s">
        <v>134</v>
      </c>
      <c r="C172" s="17">
        <v>2.0365904404981101E-2</v>
      </c>
      <c r="D172" s="17">
        <v>1.93291400097041E-2</v>
      </c>
      <c r="E172" s="17">
        <v>2.17309980796292E-2</v>
      </c>
      <c r="F172" s="17"/>
      <c r="G172" s="17">
        <v>3.14707107650085E-2</v>
      </c>
      <c r="H172" s="17">
        <v>2.16784443917384E-2</v>
      </c>
      <c r="I172" s="17">
        <v>1.61322696985448E-2</v>
      </c>
      <c r="J172" s="17">
        <v>2.20946500617305E-2</v>
      </c>
      <c r="K172" s="17">
        <v>2.0417400092078802E-2</v>
      </c>
      <c r="L172" s="17">
        <v>1.0746373132802901E-2</v>
      </c>
      <c r="M172" s="17"/>
      <c r="N172" s="17">
        <v>8.2770727524654492E-3</v>
      </c>
      <c r="O172" s="17">
        <v>4.1564456709250998E-2</v>
      </c>
      <c r="P172" s="17">
        <v>2.9447065170762801E-2</v>
      </c>
      <c r="Q172" s="17">
        <v>2.2190300101927098E-2</v>
      </c>
      <c r="R172" s="17">
        <v>1.8831874214301599E-2</v>
      </c>
      <c r="S172" s="17">
        <v>1.02265502779248E-2</v>
      </c>
      <c r="T172" s="17">
        <v>1.8539495518221701E-2</v>
      </c>
      <c r="U172" s="17">
        <v>2.67782960447422E-2</v>
      </c>
      <c r="V172" s="17">
        <v>1.01602221641329E-2</v>
      </c>
      <c r="W172" s="17"/>
      <c r="X172" s="17">
        <v>1.02763637494064E-2</v>
      </c>
      <c r="Y172" s="17">
        <v>2.8615193785396599E-2</v>
      </c>
    </row>
    <row r="173" spans="2:25" x14ac:dyDescent="0.35">
      <c r="B173" t="s">
        <v>69</v>
      </c>
      <c r="C173" s="17">
        <v>3.5561758212283197E-2</v>
      </c>
      <c r="D173" s="17">
        <v>3.47545482144875E-2</v>
      </c>
      <c r="E173" s="17">
        <v>3.60572557621937E-2</v>
      </c>
      <c r="F173" s="17"/>
      <c r="G173" s="17">
        <v>1.468421958653E-2</v>
      </c>
      <c r="H173" s="17">
        <v>2.44826863532004E-2</v>
      </c>
      <c r="I173" s="17">
        <v>2.94194184301611E-2</v>
      </c>
      <c r="J173" s="17">
        <v>4.3417103124410897E-2</v>
      </c>
      <c r="K173" s="17">
        <v>4.4416444960830199E-2</v>
      </c>
      <c r="L173" s="17">
        <v>7.5512308860765903E-2</v>
      </c>
      <c r="M173" s="17"/>
      <c r="N173" s="17">
        <v>5.6846193906478E-2</v>
      </c>
      <c r="O173" s="17">
        <v>0</v>
      </c>
      <c r="P173" s="17">
        <v>6.4263655471406098E-2</v>
      </c>
      <c r="Q173" s="17">
        <v>3.7748384364801803E-2</v>
      </c>
      <c r="R173" s="17">
        <v>1.8571608864398299E-2</v>
      </c>
      <c r="S173" s="17">
        <v>4.5722358995335902E-2</v>
      </c>
      <c r="T173" s="17">
        <v>3.5786769845412299E-2</v>
      </c>
      <c r="U173" s="17">
        <v>2.18603381920815E-2</v>
      </c>
      <c r="V173" s="17">
        <v>1.13917778046941E-2</v>
      </c>
      <c r="W173" s="17"/>
      <c r="X173" s="17">
        <v>1.9824987323807101E-2</v>
      </c>
      <c r="Y173" s="17">
        <v>4.8428268334387903E-2</v>
      </c>
    </row>
    <row r="174" spans="2:25" x14ac:dyDescent="0.35">
      <c r="B174" t="s">
        <v>135</v>
      </c>
      <c r="C174" s="17">
        <v>0.74046314683481196</v>
      </c>
      <c r="D174" s="17">
        <v>0.741531159146537</v>
      </c>
      <c r="E174" s="17">
        <v>0.741354742448604</v>
      </c>
      <c r="F174" s="17"/>
      <c r="G174" s="17">
        <v>0.73128759413036004</v>
      </c>
      <c r="H174" s="17">
        <v>0.74417103417875197</v>
      </c>
      <c r="I174" s="17">
        <v>0.740354131273111</v>
      </c>
      <c r="J174" s="17">
        <v>0.75137627645927596</v>
      </c>
      <c r="K174" s="17">
        <v>0.73656762401220699</v>
      </c>
      <c r="L174" s="17">
        <v>0.699494129027041</v>
      </c>
      <c r="M174" s="17"/>
      <c r="N174" s="17">
        <v>0.76429556215569905</v>
      </c>
      <c r="O174" s="17">
        <v>0.82333512578363199</v>
      </c>
      <c r="P174" s="17">
        <v>0.72164781264631805</v>
      </c>
      <c r="Q174" s="17">
        <v>0.70422008723940999</v>
      </c>
      <c r="R174" s="17">
        <v>0.70799713732526304</v>
      </c>
      <c r="S174" s="17">
        <v>0.786973328908117</v>
      </c>
      <c r="T174" s="17">
        <v>0.69728676973041304</v>
      </c>
      <c r="U174" s="17">
        <v>0.77455257245724995</v>
      </c>
      <c r="V174" s="17">
        <v>0.81449390908357699</v>
      </c>
      <c r="W174" s="17"/>
      <c r="X174" s="17">
        <v>0.78491603390530695</v>
      </c>
      <c r="Y174" s="17">
        <v>0.70411810975556299</v>
      </c>
    </row>
    <row r="175" spans="2:25" x14ac:dyDescent="0.35">
      <c r="B175" t="s">
        <v>136</v>
      </c>
      <c r="C175" s="17">
        <v>8.3037836695223202E-2</v>
      </c>
      <c r="D175" s="17">
        <v>7.9298863268116804E-2</v>
      </c>
      <c r="E175" s="17">
        <v>8.74828910371232E-2</v>
      </c>
      <c r="F175" s="17"/>
      <c r="G175" s="17">
        <v>7.68962250713386E-2</v>
      </c>
      <c r="H175" s="17">
        <v>8.8807709416428696E-2</v>
      </c>
      <c r="I175" s="17">
        <v>8.6109026145536394E-2</v>
      </c>
      <c r="J175" s="17">
        <v>8.9152114233693597E-2</v>
      </c>
      <c r="K175" s="17">
        <v>7.2998166966508293E-2</v>
      </c>
      <c r="L175" s="17">
        <v>5.7239458605158902E-2</v>
      </c>
      <c r="M175" s="17"/>
      <c r="N175" s="17">
        <v>3.9009332721199899E-2</v>
      </c>
      <c r="O175" s="17">
        <v>7.2077917661490798E-2</v>
      </c>
      <c r="P175" s="17">
        <v>0.10602057567414901</v>
      </c>
      <c r="Q175" s="17">
        <v>9.4014653036644802E-2</v>
      </c>
      <c r="R175" s="17">
        <v>9.2995870741263795E-2</v>
      </c>
      <c r="S175" s="17">
        <v>4.7000295725785103E-2</v>
      </c>
      <c r="T175" s="17">
        <v>9.5730422693464406E-2</v>
      </c>
      <c r="U175" s="17">
        <v>7.7016931325878807E-2</v>
      </c>
      <c r="V175" s="17">
        <v>7.7858746962612205E-2</v>
      </c>
      <c r="W175" s="17"/>
      <c r="X175" s="17">
        <v>7.3563995705896806E-2</v>
      </c>
      <c r="Y175" s="17">
        <v>9.0783725089241901E-2</v>
      </c>
    </row>
    <row r="176" spans="2:25" x14ac:dyDescent="0.35">
      <c r="B176" t="s">
        <v>92</v>
      </c>
      <c r="C176" s="17">
        <v>0.65742531013958805</v>
      </c>
      <c r="D176" s="17">
        <v>0.66223229587842003</v>
      </c>
      <c r="E176" s="17">
        <v>0.65387185141148096</v>
      </c>
      <c r="F176" s="17"/>
      <c r="G176" s="17">
        <v>0.65439136905902096</v>
      </c>
      <c r="H176" s="17">
        <v>0.65536332476232395</v>
      </c>
      <c r="I176" s="17">
        <v>0.65424510512757506</v>
      </c>
      <c r="J176" s="17">
        <v>0.662224162225583</v>
      </c>
      <c r="K176" s="17">
        <v>0.66356945704569903</v>
      </c>
      <c r="L176" s="17">
        <v>0.642254670421882</v>
      </c>
      <c r="M176" s="17"/>
      <c r="N176" s="17">
        <v>0.72528622943449905</v>
      </c>
      <c r="O176" s="17">
        <v>0.75125720812214103</v>
      </c>
      <c r="P176" s="17">
        <v>0.61562723697216803</v>
      </c>
      <c r="Q176" s="17">
        <v>0.61020543420276596</v>
      </c>
      <c r="R176" s="17">
        <v>0.61500126658399901</v>
      </c>
      <c r="S176" s="17">
        <v>0.73997303318233199</v>
      </c>
      <c r="T176" s="17">
        <v>0.60155634703694905</v>
      </c>
      <c r="U176" s="17">
        <v>0.69753564113137101</v>
      </c>
      <c r="V176" s="17">
        <v>0.73663516212096503</v>
      </c>
      <c r="W176" s="17"/>
      <c r="X176" s="17">
        <v>0.71135203819940995</v>
      </c>
      <c r="Y176" s="17">
        <v>0.61333438466632095</v>
      </c>
    </row>
    <row r="177" spans="2:25" x14ac:dyDescent="0.35">
      <c r="C177" s="17"/>
      <c r="D177" s="17"/>
      <c r="E177" s="17"/>
      <c r="F177" s="17"/>
      <c r="G177" s="17"/>
      <c r="H177" s="17"/>
      <c r="I177" s="17"/>
      <c r="J177" s="17"/>
      <c r="K177" s="17"/>
      <c r="L177" s="17"/>
      <c r="M177" s="17"/>
      <c r="N177" s="17"/>
      <c r="O177" s="17"/>
      <c r="P177" s="17"/>
      <c r="Q177" s="17"/>
      <c r="R177" s="17"/>
      <c r="S177" s="17"/>
      <c r="T177" s="17"/>
      <c r="U177" s="17"/>
      <c r="V177" s="17"/>
      <c r="W177" s="17"/>
      <c r="X177" s="17"/>
      <c r="Y177" s="17"/>
    </row>
    <row r="178" spans="2:25" x14ac:dyDescent="0.35">
      <c r="B178" s="6" t="s">
        <v>154</v>
      </c>
      <c r="C178" s="17"/>
      <c r="D178" s="17"/>
      <c r="E178" s="17"/>
      <c r="F178" s="17"/>
      <c r="G178" s="17"/>
      <c r="H178" s="17"/>
      <c r="I178" s="17"/>
      <c r="J178" s="17"/>
      <c r="K178" s="17"/>
      <c r="L178" s="17"/>
      <c r="M178" s="17"/>
      <c r="N178" s="17"/>
      <c r="O178" s="17"/>
      <c r="P178" s="17"/>
      <c r="Q178" s="17"/>
      <c r="R178" s="17"/>
      <c r="S178" s="17"/>
      <c r="T178" s="17"/>
      <c r="U178" s="17"/>
      <c r="V178" s="17"/>
      <c r="W178" s="17"/>
      <c r="X178" s="17"/>
      <c r="Y178" s="17"/>
    </row>
    <row r="179" spans="2:25" x14ac:dyDescent="0.35">
      <c r="B179" s="24" t="s">
        <v>50</v>
      </c>
      <c r="C179" s="17"/>
      <c r="D179" s="17"/>
      <c r="E179" s="17"/>
      <c r="F179" s="17"/>
      <c r="G179" s="17"/>
      <c r="H179" s="17"/>
      <c r="I179" s="17"/>
      <c r="J179" s="17"/>
      <c r="K179" s="17"/>
      <c r="L179" s="17"/>
      <c r="M179" s="17"/>
      <c r="N179" s="17"/>
      <c r="O179" s="17"/>
      <c r="P179" s="17"/>
      <c r="Q179" s="17"/>
      <c r="R179" s="17"/>
      <c r="S179" s="17"/>
      <c r="T179" s="17"/>
      <c r="U179" s="17"/>
      <c r="V179" s="17"/>
      <c r="W179" s="17"/>
      <c r="X179" s="17"/>
      <c r="Y179" s="17"/>
    </row>
    <row r="180" spans="2:25" x14ac:dyDescent="0.35">
      <c r="B180" t="s">
        <v>141</v>
      </c>
      <c r="C180" s="17">
        <v>0.81842809262940397</v>
      </c>
      <c r="D180" s="17">
        <v>0.82763445470069896</v>
      </c>
      <c r="E180" s="17">
        <v>0.81023917981393301</v>
      </c>
      <c r="F180" s="17"/>
      <c r="G180" s="17">
        <v>0.73691719150778001</v>
      </c>
      <c r="H180" s="17">
        <v>0.79524474690602598</v>
      </c>
      <c r="I180" s="17">
        <v>0.81278861263393698</v>
      </c>
      <c r="J180" s="17">
        <v>0.83926994691558698</v>
      </c>
      <c r="K180" s="17">
        <v>0.84013335437550396</v>
      </c>
      <c r="L180" s="17">
        <v>0.837574676508135</v>
      </c>
      <c r="M180" s="17"/>
      <c r="N180" s="17">
        <v>0.94143195573983596</v>
      </c>
      <c r="O180" s="17">
        <v>0.98064619897463701</v>
      </c>
      <c r="P180" s="17">
        <v>0.83605451356394</v>
      </c>
      <c r="Q180" s="17">
        <v>0.75272665688676699</v>
      </c>
      <c r="R180" s="17">
        <v>0.73805005907468002</v>
      </c>
      <c r="S180" s="17">
        <v>0.86559933802464695</v>
      </c>
      <c r="T180" s="17">
        <v>0.84341697196387699</v>
      </c>
      <c r="U180" s="17">
        <v>0.786925591720262</v>
      </c>
      <c r="V180" s="17">
        <v>0.89210911928760295</v>
      </c>
      <c r="W180" s="17"/>
      <c r="X180" s="17">
        <v>0.84304070891414096</v>
      </c>
      <c r="Y180" s="17">
        <v>0.80480829466259496</v>
      </c>
    </row>
    <row r="181" spans="2:25" x14ac:dyDescent="0.35">
      <c r="B181" t="s">
        <v>142</v>
      </c>
      <c r="C181" s="17">
        <v>0.80157041833897702</v>
      </c>
      <c r="D181" s="17">
        <v>0.79806816233271305</v>
      </c>
      <c r="E181" s="17">
        <v>0.80522063149935297</v>
      </c>
      <c r="F181" s="17"/>
      <c r="G181" s="17">
        <v>0.75814988667102701</v>
      </c>
      <c r="H181" s="17">
        <v>0.80200909141739596</v>
      </c>
      <c r="I181" s="17">
        <v>0.80639581443795805</v>
      </c>
      <c r="J181" s="17">
        <v>0.82522425933635901</v>
      </c>
      <c r="K181" s="17">
        <v>0.80738279849577299</v>
      </c>
      <c r="L181" s="17">
        <v>0.79438462678296395</v>
      </c>
      <c r="M181" s="17"/>
      <c r="N181" s="17">
        <v>0.74181740795874596</v>
      </c>
      <c r="O181" s="17">
        <v>0.83811299418544205</v>
      </c>
      <c r="P181" s="17">
        <v>0.75585137892541998</v>
      </c>
      <c r="Q181" s="17">
        <v>0.79983953763111504</v>
      </c>
      <c r="R181" s="17">
        <v>0.83872084002430403</v>
      </c>
      <c r="S181" s="17">
        <v>0.82248615883457699</v>
      </c>
      <c r="T181" s="17">
        <v>0.81333826268573495</v>
      </c>
      <c r="U181" s="17">
        <v>0.77923807996801098</v>
      </c>
      <c r="V181" s="17">
        <v>0.81384553983558205</v>
      </c>
      <c r="W181" s="17"/>
      <c r="X181" s="17">
        <v>0.82377224054023002</v>
      </c>
      <c r="Y181" s="17">
        <v>0.78928467311880701</v>
      </c>
    </row>
    <row r="182" spans="2:25" x14ac:dyDescent="0.35">
      <c r="B182" t="s">
        <v>143</v>
      </c>
      <c r="C182" s="17">
        <v>0.604557912558773</v>
      </c>
      <c r="D182" s="17">
        <v>0.63192678363934496</v>
      </c>
      <c r="E182" s="17">
        <v>0.57786320311902595</v>
      </c>
      <c r="F182" s="17"/>
      <c r="G182" s="17">
        <v>0.81019331376439496</v>
      </c>
      <c r="H182" s="17">
        <v>0.77654512451282398</v>
      </c>
      <c r="I182" s="17">
        <v>0.68028357313463905</v>
      </c>
      <c r="J182" s="17">
        <v>0.65321696571533705</v>
      </c>
      <c r="K182" s="17">
        <v>0.54273718135923998</v>
      </c>
      <c r="L182" s="17">
        <v>0.385083581922814</v>
      </c>
      <c r="M182" s="17"/>
      <c r="N182" s="17">
        <v>0.66127531478847501</v>
      </c>
      <c r="O182" s="17">
        <v>0.69912623259810203</v>
      </c>
      <c r="P182" s="17">
        <v>0.511914115728342</v>
      </c>
      <c r="Q182" s="17">
        <v>0.54458947883735698</v>
      </c>
      <c r="R182" s="17">
        <v>0.637969917973367</v>
      </c>
      <c r="S182" s="17">
        <v>0.53175049748511105</v>
      </c>
      <c r="T182" s="17">
        <v>0.64840902562098801</v>
      </c>
      <c r="U182" s="17">
        <v>0.65289670791201504</v>
      </c>
      <c r="V182" s="17">
        <v>0.77491310747336595</v>
      </c>
      <c r="W182" s="17"/>
      <c r="X182" s="17">
        <v>0.66711493584447801</v>
      </c>
      <c r="Y182" s="17">
        <v>0.56994094991247801</v>
      </c>
    </row>
    <row r="183" spans="2:25" x14ac:dyDescent="0.35">
      <c r="B183" t="s">
        <v>144</v>
      </c>
      <c r="C183" s="17">
        <v>0.57063061084358901</v>
      </c>
      <c r="D183" s="17">
        <v>0.59169486098694402</v>
      </c>
      <c r="E183" s="17">
        <v>0.55060358929412001</v>
      </c>
      <c r="F183" s="17"/>
      <c r="G183" s="17">
        <v>0.52855101411893901</v>
      </c>
      <c r="H183" s="17">
        <v>0.60988686463370401</v>
      </c>
      <c r="I183" s="17">
        <v>0.59772175539547101</v>
      </c>
      <c r="J183" s="17">
        <v>0.628452760806398</v>
      </c>
      <c r="K183" s="17">
        <v>0.58897383913694401</v>
      </c>
      <c r="L183" s="17">
        <v>0.49408701837105401</v>
      </c>
      <c r="M183" s="17"/>
      <c r="N183" s="17">
        <v>0.51621556621183995</v>
      </c>
      <c r="O183" s="17">
        <v>0.58330031646670399</v>
      </c>
      <c r="P183" s="17">
        <v>0.51810634862691696</v>
      </c>
      <c r="Q183" s="17">
        <v>0.60087802197955797</v>
      </c>
      <c r="R183" s="17">
        <v>0.50172899389439496</v>
      </c>
      <c r="S183" s="17">
        <v>0.49176914497579</v>
      </c>
      <c r="T183" s="17">
        <v>0.73062408673976198</v>
      </c>
      <c r="U183" s="17">
        <v>0.56479567899797101</v>
      </c>
      <c r="V183" s="17">
        <v>0.63137255025321604</v>
      </c>
      <c r="W183" s="17"/>
      <c r="X183" s="17">
        <v>0.62726481735012796</v>
      </c>
      <c r="Y183" s="17">
        <v>0.53929113674192797</v>
      </c>
    </row>
    <row r="184" spans="2:25" x14ac:dyDescent="0.35">
      <c r="B184" t="s">
        <v>145</v>
      </c>
      <c r="C184" s="17">
        <v>0.51627077692218104</v>
      </c>
      <c r="D184" s="17">
        <v>0.53015483626940596</v>
      </c>
      <c r="E184" s="17">
        <v>0.503136569171721</v>
      </c>
      <c r="F184" s="17"/>
      <c r="G184" s="17">
        <v>0.60773895380752196</v>
      </c>
      <c r="H184" s="17">
        <v>0.58739682514036595</v>
      </c>
      <c r="I184" s="17">
        <v>0.56136376290595302</v>
      </c>
      <c r="J184" s="17">
        <v>0.56083490719482998</v>
      </c>
      <c r="K184" s="17">
        <v>0.49345322013973197</v>
      </c>
      <c r="L184" s="17">
        <v>0.39576672860723699</v>
      </c>
      <c r="M184" s="17"/>
      <c r="N184" s="17">
        <v>0.58988204295051905</v>
      </c>
      <c r="O184" s="17">
        <v>0.73173832769220604</v>
      </c>
      <c r="P184" s="17">
        <v>0.36708747637230199</v>
      </c>
      <c r="Q184" s="17">
        <v>0.55823243616529605</v>
      </c>
      <c r="R184" s="17">
        <v>0.418889628434227</v>
      </c>
      <c r="S184" s="17">
        <v>0.54304696173942901</v>
      </c>
      <c r="T184" s="17">
        <v>0.52508958851700205</v>
      </c>
      <c r="U184" s="17">
        <v>0.64784051038035795</v>
      </c>
      <c r="V184" s="17">
        <v>0.46339852882080701</v>
      </c>
      <c r="W184" s="17"/>
      <c r="X184" s="17">
        <v>0.58681308564548895</v>
      </c>
      <c r="Y184" s="17">
        <v>0.47723502461495598</v>
      </c>
    </row>
    <row r="185" spans="2:25" x14ac:dyDescent="0.35">
      <c r="B185" t="s">
        <v>146</v>
      </c>
      <c r="C185" s="17">
        <v>0.51223184135465805</v>
      </c>
      <c r="D185" s="17">
        <v>0.489466417672688</v>
      </c>
      <c r="E185" s="17">
        <v>0.53345486008147502</v>
      </c>
      <c r="F185" s="17"/>
      <c r="G185" s="17">
        <v>0.65908662245792504</v>
      </c>
      <c r="H185" s="17">
        <v>0.59154209781768197</v>
      </c>
      <c r="I185" s="17">
        <v>0.57613032954471499</v>
      </c>
      <c r="J185" s="17">
        <v>0.50562863735251395</v>
      </c>
      <c r="K185" s="17">
        <v>0.46577776114711</v>
      </c>
      <c r="L185" s="17">
        <v>0.404731244377591</v>
      </c>
      <c r="M185" s="17"/>
      <c r="N185" s="17">
        <v>0.499567700476299</v>
      </c>
      <c r="O185" s="17">
        <v>0.39405748584510297</v>
      </c>
      <c r="P185" s="17">
        <v>0.47455740578279698</v>
      </c>
      <c r="Q185" s="17">
        <v>0.45793716979096799</v>
      </c>
      <c r="R185" s="17">
        <v>0.49522258859512902</v>
      </c>
      <c r="S185" s="17">
        <v>0.45636642519393</v>
      </c>
      <c r="T185" s="17">
        <v>0.56780048282148599</v>
      </c>
      <c r="U185" s="17">
        <v>0.67304873118810904</v>
      </c>
      <c r="V185" s="17">
        <v>0.44740889187724497</v>
      </c>
      <c r="W185" s="17"/>
      <c r="X185" s="17">
        <v>0.57936697308583196</v>
      </c>
      <c r="Y185" s="17">
        <v>0.475081506742698</v>
      </c>
    </row>
    <row r="186" spans="2:25" x14ac:dyDescent="0.35">
      <c r="B186" t="s">
        <v>147</v>
      </c>
      <c r="C186" s="17">
        <v>0.505949596484501</v>
      </c>
      <c r="D186" s="17">
        <v>0.47186213403358601</v>
      </c>
      <c r="E186" s="17">
        <v>0.53808276869937199</v>
      </c>
      <c r="F186" s="17"/>
      <c r="G186" s="17">
        <v>0.50973171702204101</v>
      </c>
      <c r="H186" s="17">
        <v>0.503366950485855</v>
      </c>
      <c r="I186" s="17">
        <v>0.50186008342561095</v>
      </c>
      <c r="J186" s="17">
        <v>0.50228804123107795</v>
      </c>
      <c r="K186" s="17">
        <v>0.506307375121687</v>
      </c>
      <c r="L186" s="17">
        <v>0.51096083273103299</v>
      </c>
      <c r="M186" s="17"/>
      <c r="N186" s="17">
        <v>0.555932424374736</v>
      </c>
      <c r="O186" s="17">
        <v>0.58082232284189494</v>
      </c>
      <c r="P186" s="17">
        <v>0.64440087997734297</v>
      </c>
      <c r="Q186" s="17">
        <v>0.33922917960534799</v>
      </c>
      <c r="R186" s="17">
        <v>0.41734032418420502</v>
      </c>
      <c r="S186" s="17">
        <v>0.42723746059418699</v>
      </c>
      <c r="T186" s="17">
        <v>0.475503741258816</v>
      </c>
      <c r="U186" s="17">
        <v>0.66239953786071304</v>
      </c>
      <c r="V186" s="17">
        <v>0.614228151627769</v>
      </c>
      <c r="W186" s="17"/>
      <c r="X186" s="17">
        <v>0.57390000560591703</v>
      </c>
      <c r="Y186" s="17">
        <v>0.468348114655458</v>
      </c>
    </row>
    <row r="187" spans="2:25" x14ac:dyDescent="0.35">
      <c r="B187" t="s">
        <v>148</v>
      </c>
      <c r="C187" s="17">
        <v>0.41450542210890001</v>
      </c>
      <c r="D187" s="17">
        <v>0.45103776986050398</v>
      </c>
      <c r="E187" s="17">
        <v>0.38126335942116701</v>
      </c>
      <c r="F187" s="17"/>
      <c r="G187" s="17">
        <v>0.26705314270958702</v>
      </c>
      <c r="H187" s="17">
        <v>0.41562530858381702</v>
      </c>
      <c r="I187" s="17">
        <v>0.436978334286938</v>
      </c>
      <c r="J187" s="17">
        <v>0.41983430720582299</v>
      </c>
      <c r="K187" s="17">
        <v>0.430298569177263</v>
      </c>
      <c r="L187" s="17">
        <v>0.44026419598827599</v>
      </c>
      <c r="M187" s="17"/>
      <c r="N187" s="17">
        <v>0.41550438460061201</v>
      </c>
      <c r="O187" s="17">
        <v>0.363691243368018</v>
      </c>
      <c r="P187" s="17">
        <v>0.491850638159674</v>
      </c>
      <c r="Q187" s="17">
        <v>0.19273889991992099</v>
      </c>
      <c r="R187" s="17">
        <v>0.38654759804912098</v>
      </c>
      <c r="S187" s="17">
        <v>0.48560902444335702</v>
      </c>
      <c r="T187" s="17">
        <v>0.48875849392603699</v>
      </c>
      <c r="U187" s="17">
        <v>0.40305611583161</v>
      </c>
      <c r="V187" s="17">
        <v>0.53201643405149801</v>
      </c>
      <c r="W187" s="17"/>
      <c r="X187" s="17">
        <v>0.52759025759007705</v>
      </c>
      <c r="Y187" s="17">
        <v>0.35192805956663997</v>
      </c>
    </row>
    <row r="188" spans="2:25" x14ac:dyDescent="0.35">
      <c r="B188" t="s">
        <v>149</v>
      </c>
      <c r="C188" s="17">
        <v>0.25463017066281901</v>
      </c>
      <c r="D188" s="17">
        <v>0.25566777110129402</v>
      </c>
      <c r="E188" s="17">
        <v>0.25388724893450398</v>
      </c>
      <c r="F188" s="17"/>
      <c r="G188" s="17">
        <v>0.38684231943199199</v>
      </c>
      <c r="H188" s="17">
        <v>0.40348460748153198</v>
      </c>
      <c r="I188" s="17">
        <v>0.32332890897975902</v>
      </c>
      <c r="J188" s="17">
        <v>0.25861861701967398</v>
      </c>
      <c r="K188" s="17">
        <v>0.170484578786049</v>
      </c>
      <c r="L188" s="17">
        <v>0.12590202779047799</v>
      </c>
      <c r="M188" s="17"/>
      <c r="N188" s="17">
        <v>0.18119837172011799</v>
      </c>
      <c r="O188" s="17">
        <v>0.34505258066994499</v>
      </c>
      <c r="P188" s="17">
        <v>0.22702395152476701</v>
      </c>
      <c r="Q188" s="17">
        <v>0.21908015829098801</v>
      </c>
      <c r="R188" s="17">
        <v>0.25148833824309402</v>
      </c>
      <c r="S188" s="17">
        <v>0.24341538700639201</v>
      </c>
      <c r="T188" s="17">
        <v>0.287653304908841</v>
      </c>
      <c r="U188" s="17">
        <v>0.31372496011457002</v>
      </c>
      <c r="V188" s="17">
        <v>0.210451213144729</v>
      </c>
      <c r="W188" s="17"/>
      <c r="X188" s="17">
        <v>0.324136160527842</v>
      </c>
      <c r="Y188" s="17">
        <v>0.21616788252192801</v>
      </c>
    </row>
    <row r="189" spans="2:25" x14ac:dyDescent="0.35">
      <c r="B189" t="s">
        <v>150</v>
      </c>
      <c r="C189" s="17">
        <v>0.25047188811066701</v>
      </c>
      <c r="D189" s="17">
        <v>0.235648671406267</v>
      </c>
      <c r="E189" s="17">
        <v>0.26435371233060101</v>
      </c>
      <c r="F189" s="17"/>
      <c r="G189" s="17">
        <v>0.33712301364568897</v>
      </c>
      <c r="H189" s="17">
        <v>0.31825658387939398</v>
      </c>
      <c r="I189" s="17">
        <v>0.28351377228989699</v>
      </c>
      <c r="J189" s="17">
        <v>0.25090519078551199</v>
      </c>
      <c r="K189" s="17">
        <v>0.194804533493704</v>
      </c>
      <c r="L189" s="17">
        <v>0.19324786243686101</v>
      </c>
      <c r="M189" s="17"/>
      <c r="N189" s="17">
        <v>0.41118455928609898</v>
      </c>
      <c r="O189" s="17">
        <v>0.50185724945616905</v>
      </c>
      <c r="P189" s="17">
        <v>0.221549592909423</v>
      </c>
      <c r="Q189" s="17">
        <v>0.15173610116536401</v>
      </c>
      <c r="R189" s="17">
        <v>0.22617036104507901</v>
      </c>
      <c r="S189" s="17">
        <v>0.298790429477442</v>
      </c>
      <c r="T189" s="17">
        <v>0.25180193688921698</v>
      </c>
      <c r="U189" s="17">
        <v>0.270378796945342</v>
      </c>
      <c r="V189" s="17">
        <v>0.246562290961273</v>
      </c>
      <c r="W189" s="17"/>
      <c r="X189" s="17">
        <v>0.30227474259759401</v>
      </c>
      <c r="Y189" s="17">
        <v>0.22180592249150199</v>
      </c>
    </row>
    <row r="190" spans="2:25" x14ac:dyDescent="0.35">
      <c r="B190" t="s">
        <v>151</v>
      </c>
      <c r="C190" s="17">
        <v>0.24205143259697401</v>
      </c>
      <c r="D190" s="17">
        <v>0.23308849697819001</v>
      </c>
      <c r="E190" s="17">
        <v>0.24979667481520801</v>
      </c>
      <c r="F190" s="17"/>
      <c r="G190" s="17">
        <v>0.50867096871789796</v>
      </c>
      <c r="H190" s="17">
        <v>0.402607047719237</v>
      </c>
      <c r="I190" s="17">
        <v>0.32385445763145898</v>
      </c>
      <c r="J190" s="17">
        <v>0.27279301379569498</v>
      </c>
      <c r="K190" s="17">
        <v>0.14928785324347801</v>
      </c>
      <c r="L190" s="17">
        <v>3.5362116846451699E-2</v>
      </c>
      <c r="M190" s="17"/>
      <c r="N190" s="17">
        <v>0.23960501814614099</v>
      </c>
      <c r="O190" s="17">
        <v>0.38864245212696902</v>
      </c>
      <c r="P190" s="17">
        <v>0.187793691966784</v>
      </c>
      <c r="Q190" s="17">
        <v>0.207027738219632</v>
      </c>
      <c r="R190" s="17">
        <v>0.24472027019998399</v>
      </c>
      <c r="S190" s="17">
        <v>0.206929130740613</v>
      </c>
      <c r="T190" s="17">
        <v>0.29234917999989402</v>
      </c>
      <c r="U190" s="17">
        <v>0.260482229982198</v>
      </c>
      <c r="V190" s="17">
        <v>0.30149532555594899</v>
      </c>
      <c r="W190" s="17"/>
      <c r="X190" s="17">
        <v>0.273211277850678</v>
      </c>
      <c r="Y190" s="17">
        <v>0.224808617281331</v>
      </c>
    </row>
    <row r="191" spans="2:25" x14ac:dyDescent="0.35">
      <c r="B191" t="s">
        <v>152</v>
      </c>
      <c r="C191" s="17">
        <v>0.16685688801983001</v>
      </c>
      <c r="D191" s="17">
        <v>0.18605923668173399</v>
      </c>
      <c r="E191" s="17">
        <v>0.148667846912277</v>
      </c>
      <c r="F191" s="17"/>
      <c r="G191" s="17">
        <v>0.26494693284762699</v>
      </c>
      <c r="H191" s="17">
        <v>0.28838090659313997</v>
      </c>
      <c r="I191" s="17">
        <v>0.227163569359496</v>
      </c>
      <c r="J191" s="17">
        <v>0.191165146454296</v>
      </c>
      <c r="K191" s="17">
        <v>0.118275442647589</v>
      </c>
      <c r="L191" s="17">
        <v>3.5094945546554103E-2</v>
      </c>
      <c r="M191" s="17"/>
      <c r="N191" s="17">
        <v>0.14853560556827899</v>
      </c>
      <c r="O191" s="17">
        <v>0.24492387757706599</v>
      </c>
      <c r="P191" s="17">
        <v>9.5513330203319105E-2</v>
      </c>
      <c r="Q191" s="17">
        <v>0.15087366646367401</v>
      </c>
      <c r="R191" s="17">
        <v>0.13458968357798101</v>
      </c>
      <c r="S191" s="17">
        <v>0.128099034576936</v>
      </c>
      <c r="T191" s="17">
        <v>0.28527776337546901</v>
      </c>
      <c r="U191" s="17">
        <v>0.20814290062750199</v>
      </c>
      <c r="V191" s="17">
        <v>0.13314615677597999</v>
      </c>
      <c r="W191" s="17"/>
      <c r="X191" s="17">
        <v>0.24621374922717401</v>
      </c>
      <c r="Y191" s="17">
        <v>0.12294345742714401</v>
      </c>
    </row>
    <row r="192" spans="2:25" x14ac:dyDescent="0.35">
      <c r="B192" t="s">
        <v>153</v>
      </c>
      <c r="C192" s="17">
        <v>9.2000318382972096E-2</v>
      </c>
      <c r="D192" s="17">
        <v>0.116004865199926</v>
      </c>
      <c r="E192" s="17">
        <v>6.83644499009778E-2</v>
      </c>
      <c r="F192" s="17"/>
      <c r="G192" s="17">
        <v>0.20429556257044501</v>
      </c>
      <c r="H192" s="17">
        <v>0.16078763473518301</v>
      </c>
      <c r="I192" s="17">
        <v>0.107295988680432</v>
      </c>
      <c r="J192" s="17">
        <v>8.6190987602702898E-2</v>
      </c>
      <c r="K192" s="17">
        <v>5.2971042795916599E-2</v>
      </c>
      <c r="L192" s="17">
        <v>2.9337128606275301E-2</v>
      </c>
      <c r="M192" s="17"/>
      <c r="N192" s="17">
        <v>5.6788923829539602E-2</v>
      </c>
      <c r="O192" s="17">
        <v>0.12574882421670899</v>
      </c>
      <c r="P192" s="17">
        <v>8.9686930418307595E-2</v>
      </c>
      <c r="Q192" s="17">
        <v>9.2983139371120099E-2</v>
      </c>
      <c r="R192" s="17">
        <v>0.107062542883734</v>
      </c>
      <c r="S192" s="17">
        <v>8.7406920752634606E-2</v>
      </c>
      <c r="T192" s="17">
        <v>9.0739375251670903E-2</v>
      </c>
      <c r="U192" s="17">
        <v>8.6655683994029106E-2</v>
      </c>
      <c r="V192" s="17">
        <v>8.7206498358088497E-2</v>
      </c>
      <c r="W192" s="17"/>
      <c r="X192" s="17">
        <v>0.10223109072808401</v>
      </c>
      <c r="Y192" s="17">
        <v>8.6338951433077293E-2</v>
      </c>
    </row>
    <row r="193" spans="2:25" x14ac:dyDescent="0.35">
      <c r="B193" t="s">
        <v>48</v>
      </c>
      <c r="C193" s="17">
        <v>1.95058231992855E-2</v>
      </c>
      <c r="D193" s="17">
        <v>1.5673286132297001E-2</v>
      </c>
      <c r="E193" s="17">
        <v>2.31918266831883E-2</v>
      </c>
      <c r="F193" s="17"/>
      <c r="G193" s="17">
        <v>1.5879694590648499E-2</v>
      </c>
      <c r="H193" s="17">
        <v>6.9728797140661998E-3</v>
      </c>
      <c r="I193" s="17">
        <v>1.50070378491278E-2</v>
      </c>
      <c r="J193" s="17">
        <v>2.2038925266821899E-2</v>
      </c>
      <c r="K193" s="17">
        <v>1.8839638820270802E-2</v>
      </c>
      <c r="L193" s="17">
        <v>2.98678504999626E-2</v>
      </c>
      <c r="M193" s="17"/>
      <c r="N193" s="17">
        <v>0</v>
      </c>
      <c r="O193" s="17">
        <v>3.35963674736885E-3</v>
      </c>
      <c r="P193" s="17">
        <v>2.1819414936233999E-2</v>
      </c>
      <c r="Q193" s="17">
        <v>4.2638446097823399E-2</v>
      </c>
      <c r="R193" s="17">
        <v>1.7781439961036101E-2</v>
      </c>
      <c r="S193" s="17">
        <v>1.9228806417896101E-2</v>
      </c>
      <c r="T193" s="17">
        <v>9.1686703696262899E-3</v>
      </c>
      <c r="U193" s="17">
        <v>1.4126053269189099E-2</v>
      </c>
      <c r="V193" s="17">
        <v>1.8671676079281802E-2</v>
      </c>
      <c r="W193" s="17"/>
      <c r="X193" s="17">
        <v>9.9358924303297094E-3</v>
      </c>
      <c r="Y193" s="17">
        <v>2.48015025420118E-2</v>
      </c>
    </row>
    <row r="194" spans="2:25" x14ac:dyDescent="0.35">
      <c r="C194" s="17"/>
      <c r="D194" s="17"/>
      <c r="E194" s="17"/>
      <c r="F194" s="17"/>
      <c r="G194" s="17"/>
      <c r="H194" s="17"/>
      <c r="I194" s="17"/>
      <c r="J194" s="17"/>
      <c r="K194" s="17"/>
      <c r="L194" s="17"/>
      <c r="M194" s="17"/>
      <c r="N194" s="17"/>
      <c r="O194" s="17"/>
      <c r="P194" s="17"/>
      <c r="Q194" s="17"/>
      <c r="R194" s="17"/>
      <c r="S194" s="17"/>
      <c r="T194" s="17"/>
      <c r="U194" s="17"/>
      <c r="V194" s="17"/>
      <c r="W194" s="17"/>
      <c r="X194" s="17"/>
      <c r="Y194" s="17"/>
    </row>
    <row r="195" spans="2:25" x14ac:dyDescent="0.35">
      <c r="B195" s="6" t="s">
        <v>155</v>
      </c>
      <c r="C195" s="17"/>
      <c r="D195" s="17"/>
      <c r="E195" s="17"/>
      <c r="F195" s="17"/>
      <c r="G195" s="17"/>
      <c r="H195" s="17"/>
      <c r="I195" s="17"/>
      <c r="J195" s="17"/>
      <c r="K195" s="17"/>
      <c r="L195" s="17"/>
      <c r="M195" s="17"/>
      <c r="N195" s="17"/>
      <c r="O195" s="17"/>
      <c r="P195" s="17"/>
      <c r="Q195" s="17"/>
      <c r="R195" s="17"/>
      <c r="S195" s="17"/>
      <c r="T195" s="17"/>
      <c r="U195" s="17"/>
      <c r="V195" s="17"/>
      <c r="W195" s="17"/>
      <c r="X195" s="17"/>
      <c r="Y195" s="17"/>
    </row>
    <row r="196" spans="2:25" x14ac:dyDescent="0.35">
      <c r="B196" s="24" t="s">
        <v>50</v>
      </c>
      <c r="C196" s="17"/>
      <c r="D196" s="17"/>
      <c r="E196" s="17"/>
      <c r="F196" s="17"/>
      <c r="G196" s="17"/>
      <c r="H196" s="17"/>
      <c r="I196" s="17"/>
      <c r="J196" s="17"/>
      <c r="K196" s="17"/>
      <c r="L196" s="17"/>
      <c r="M196" s="17"/>
      <c r="N196" s="17"/>
      <c r="O196" s="17"/>
      <c r="P196" s="17"/>
      <c r="Q196" s="17"/>
      <c r="R196" s="17"/>
      <c r="S196" s="17"/>
      <c r="T196" s="17"/>
      <c r="U196" s="17"/>
      <c r="V196" s="17"/>
      <c r="W196" s="17"/>
      <c r="X196" s="17"/>
      <c r="Y196" s="17"/>
    </row>
    <row r="197" spans="2:25" x14ac:dyDescent="0.35">
      <c r="B197" t="s">
        <v>147</v>
      </c>
      <c r="C197" s="17">
        <v>0.26657725902315998</v>
      </c>
      <c r="D197" s="17">
        <v>0.25939197483639898</v>
      </c>
      <c r="E197" s="17">
        <v>0.27329377083553402</v>
      </c>
      <c r="F197" s="17"/>
      <c r="G197" s="17">
        <v>0.29884163238619199</v>
      </c>
      <c r="H197" s="17">
        <v>0.28248244727171901</v>
      </c>
      <c r="I197" s="17">
        <v>0.28114488809903398</v>
      </c>
      <c r="J197" s="17">
        <v>0.245050149160873</v>
      </c>
      <c r="K197" s="17">
        <v>0.254932714985037</v>
      </c>
      <c r="L197" s="17">
        <v>0.25818529332173901</v>
      </c>
      <c r="M197" s="17"/>
      <c r="N197" s="17">
        <v>0.15365822354908401</v>
      </c>
      <c r="O197" s="17">
        <v>0.217642971708217</v>
      </c>
      <c r="P197" s="17">
        <v>0.32800269385383901</v>
      </c>
      <c r="Q197" s="17">
        <v>0.197574957973532</v>
      </c>
      <c r="R197" s="17">
        <v>0.25124699161714498</v>
      </c>
      <c r="S197" s="17">
        <v>0.204309705417976</v>
      </c>
      <c r="T197" s="17">
        <v>0.28941002214502898</v>
      </c>
      <c r="U197" s="17">
        <v>0.36747467377033</v>
      </c>
      <c r="V197" s="17">
        <v>0.25222497073264299</v>
      </c>
      <c r="W197" s="17"/>
      <c r="X197" s="17">
        <v>0.28455425048684502</v>
      </c>
      <c r="Y197" s="17">
        <v>0.25662939371075599</v>
      </c>
    </row>
    <row r="198" spans="2:25" x14ac:dyDescent="0.35">
      <c r="B198" t="s">
        <v>141</v>
      </c>
      <c r="C198" s="17">
        <v>0.21455515520201901</v>
      </c>
      <c r="D198" s="17">
        <v>0.220652782453758</v>
      </c>
      <c r="E198" s="17">
        <v>0.208301661764797</v>
      </c>
      <c r="F198" s="17"/>
      <c r="G198" s="17">
        <v>0.284109451204625</v>
      </c>
      <c r="H198" s="17">
        <v>0.21589123285555301</v>
      </c>
      <c r="I198" s="17">
        <v>0.21838607466326801</v>
      </c>
      <c r="J198" s="17">
        <v>0.213525222256956</v>
      </c>
      <c r="K198" s="17">
        <v>0.19286526624307701</v>
      </c>
      <c r="L198" s="17">
        <v>0.20040296921189599</v>
      </c>
      <c r="M198" s="17"/>
      <c r="N198" s="17">
        <v>0.125923923949182</v>
      </c>
      <c r="O198" s="17">
        <v>0.16828948721357501</v>
      </c>
      <c r="P198" s="17">
        <v>0.248914621728418</v>
      </c>
      <c r="Q198" s="17">
        <v>0.13936763318991799</v>
      </c>
      <c r="R198" s="17">
        <v>0.26589959291595</v>
      </c>
      <c r="S198" s="17">
        <v>0.18144290559017001</v>
      </c>
      <c r="T198" s="17">
        <v>0.20731285226389701</v>
      </c>
      <c r="U198" s="17">
        <v>0.293702977275142</v>
      </c>
      <c r="V198" s="17">
        <v>0.15972249797677601</v>
      </c>
      <c r="W198" s="17"/>
      <c r="X198" s="17">
        <v>0.18727872834616099</v>
      </c>
      <c r="Y198" s="17">
        <v>0.229649016770227</v>
      </c>
    </row>
    <row r="199" spans="2:25" x14ac:dyDescent="0.35">
      <c r="B199" t="s">
        <v>142</v>
      </c>
      <c r="C199" s="17">
        <v>0.185526831363549</v>
      </c>
      <c r="D199" s="17">
        <v>0.18963888203024701</v>
      </c>
      <c r="E199" s="17">
        <v>0.18239811348518101</v>
      </c>
      <c r="F199" s="17"/>
      <c r="G199" s="17">
        <v>0.231310956641962</v>
      </c>
      <c r="H199" s="17">
        <v>0.187492881222627</v>
      </c>
      <c r="I199" s="17">
        <v>0.18549172248009599</v>
      </c>
      <c r="J199" s="17">
        <v>0.210728414043415</v>
      </c>
      <c r="K199" s="17">
        <v>0.15921631824976201</v>
      </c>
      <c r="L199" s="17">
        <v>0.16744368232353499</v>
      </c>
      <c r="M199" s="17"/>
      <c r="N199" s="17">
        <v>9.2714486017245898E-2</v>
      </c>
      <c r="O199" s="17">
        <v>0.115851571207801</v>
      </c>
      <c r="P199" s="17">
        <v>0.205715394677912</v>
      </c>
      <c r="Q199" s="17">
        <v>0.114161732402358</v>
      </c>
      <c r="R199" s="17">
        <v>0.26245597938730902</v>
      </c>
      <c r="S199" s="17">
        <v>0.143136992499203</v>
      </c>
      <c r="T199" s="17">
        <v>0.19163480674381</v>
      </c>
      <c r="U199" s="17">
        <v>0.25094513349291497</v>
      </c>
      <c r="V199" s="17">
        <v>0.13061976516167501</v>
      </c>
      <c r="W199" s="17"/>
      <c r="X199" s="17">
        <v>0.16788155526606</v>
      </c>
      <c r="Y199" s="17">
        <v>0.195291136496173</v>
      </c>
    </row>
    <row r="200" spans="2:25" x14ac:dyDescent="0.35">
      <c r="B200" t="s">
        <v>146</v>
      </c>
      <c r="C200" s="17">
        <v>0.17075748467684199</v>
      </c>
      <c r="D200" s="17">
        <v>0.17099867610421299</v>
      </c>
      <c r="E200" s="17">
        <v>0.17041914702119701</v>
      </c>
      <c r="F200" s="17"/>
      <c r="G200" s="17">
        <v>0.227581858487265</v>
      </c>
      <c r="H200" s="17">
        <v>0.17824541068622399</v>
      </c>
      <c r="I200" s="17">
        <v>0.19265448865426699</v>
      </c>
      <c r="J200" s="17">
        <v>0.172941502075107</v>
      </c>
      <c r="K200" s="17">
        <v>0.14423468581860599</v>
      </c>
      <c r="L200" s="17">
        <v>0.14709722250677901</v>
      </c>
      <c r="M200" s="17"/>
      <c r="N200" s="17">
        <v>0.12871721663138</v>
      </c>
      <c r="O200" s="17">
        <v>0.131922699107552</v>
      </c>
      <c r="P200" s="17">
        <v>0.161225360944561</v>
      </c>
      <c r="Q200" s="17">
        <v>0.119714869509947</v>
      </c>
      <c r="R200" s="17">
        <v>0.20560569392507799</v>
      </c>
      <c r="S200" s="17">
        <v>0.14018576461877999</v>
      </c>
      <c r="T200" s="17">
        <v>0.162810335865471</v>
      </c>
      <c r="U200" s="17">
        <v>0.26651451044605201</v>
      </c>
      <c r="V200" s="17">
        <v>0.132338203347906</v>
      </c>
      <c r="W200" s="17"/>
      <c r="X200" s="17">
        <v>0.17893243990008301</v>
      </c>
      <c r="Y200" s="17">
        <v>0.16623373810556399</v>
      </c>
    </row>
    <row r="201" spans="2:25" x14ac:dyDescent="0.35">
      <c r="B201" t="s">
        <v>143</v>
      </c>
      <c r="C201" s="17">
        <v>0.16711341388904399</v>
      </c>
      <c r="D201" s="17">
        <v>0.181721241405946</v>
      </c>
      <c r="E201" s="17">
        <v>0.153483103616085</v>
      </c>
      <c r="F201" s="17"/>
      <c r="G201" s="17">
        <v>0.24333886242161101</v>
      </c>
      <c r="H201" s="17">
        <v>0.214571213075439</v>
      </c>
      <c r="I201" s="17">
        <v>0.19247932635038101</v>
      </c>
      <c r="J201" s="17">
        <v>0.18465760290491501</v>
      </c>
      <c r="K201" s="17">
        <v>0.12589932387769401</v>
      </c>
      <c r="L201" s="17">
        <v>0.109520134578834</v>
      </c>
      <c r="M201" s="17"/>
      <c r="N201" s="17">
        <v>0.104880525000594</v>
      </c>
      <c r="O201" s="17">
        <v>7.5804832589309007E-2</v>
      </c>
      <c r="P201" s="17">
        <v>0.16463314954573299</v>
      </c>
      <c r="Q201" s="17">
        <v>9.5558913105464299E-2</v>
      </c>
      <c r="R201" s="17">
        <v>0.227108894014452</v>
      </c>
      <c r="S201" s="17">
        <v>0.13810718099802599</v>
      </c>
      <c r="T201" s="17">
        <v>0.168267581168381</v>
      </c>
      <c r="U201" s="17">
        <v>0.24005043675559201</v>
      </c>
      <c r="V201" s="17">
        <v>0.16608135644990801</v>
      </c>
      <c r="W201" s="17"/>
      <c r="X201" s="17">
        <v>0.161394492667884</v>
      </c>
      <c r="Y201" s="17">
        <v>0.170278073457097</v>
      </c>
    </row>
    <row r="202" spans="2:25" x14ac:dyDescent="0.35">
      <c r="B202" t="s">
        <v>144</v>
      </c>
      <c r="C202" s="17">
        <v>0.135005695483221</v>
      </c>
      <c r="D202" s="17">
        <v>0.141942324290976</v>
      </c>
      <c r="E202" s="17">
        <v>0.12875943789318001</v>
      </c>
      <c r="F202" s="17"/>
      <c r="G202" s="17">
        <v>0.169598625939444</v>
      </c>
      <c r="H202" s="17">
        <v>0.133998251369156</v>
      </c>
      <c r="I202" s="17">
        <v>0.15844337091869501</v>
      </c>
      <c r="J202" s="17">
        <v>0.140958753861016</v>
      </c>
      <c r="K202" s="17">
        <v>0.125684455622882</v>
      </c>
      <c r="L202" s="17">
        <v>0.109761685784718</v>
      </c>
      <c r="M202" s="17"/>
      <c r="N202" s="17">
        <v>8.1378911442857998E-2</v>
      </c>
      <c r="O202" s="17">
        <v>7.9072609213538897E-2</v>
      </c>
      <c r="P202" s="17">
        <v>0.13247085811404699</v>
      </c>
      <c r="Q202" s="17">
        <v>9.30418975621667E-2</v>
      </c>
      <c r="R202" s="17">
        <v>0.17577663572942701</v>
      </c>
      <c r="S202" s="17">
        <v>0.101319590826817</v>
      </c>
      <c r="T202" s="17">
        <v>0.150825309108367</v>
      </c>
      <c r="U202" s="17">
        <v>0.19006084856990699</v>
      </c>
      <c r="V202" s="17">
        <v>0.106471917980166</v>
      </c>
      <c r="W202" s="17"/>
      <c r="X202" s="17">
        <v>0.123503577551677</v>
      </c>
      <c r="Y202" s="17">
        <v>0.14137058252349899</v>
      </c>
    </row>
    <row r="203" spans="2:25" x14ac:dyDescent="0.35">
      <c r="B203" t="s">
        <v>148</v>
      </c>
      <c r="C203" s="17">
        <v>0.133193050587819</v>
      </c>
      <c r="D203" s="17">
        <v>0.15151932312118899</v>
      </c>
      <c r="E203" s="17">
        <v>0.115826247072913</v>
      </c>
      <c r="F203" s="17"/>
      <c r="G203" s="17">
        <v>0.16453749555957101</v>
      </c>
      <c r="H203" s="17">
        <v>0.173929996217526</v>
      </c>
      <c r="I203" s="17">
        <v>0.157408584740763</v>
      </c>
      <c r="J203" s="17">
        <v>0.12039952526532199</v>
      </c>
      <c r="K203" s="17">
        <v>0.10742691470285801</v>
      </c>
      <c r="L203" s="17">
        <v>0.107581750480921</v>
      </c>
      <c r="M203" s="17"/>
      <c r="N203" s="17">
        <v>0.109800272165416</v>
      </c>
      <c r="O203" s="17">
        <v>5.59429382735806E-2</v>
      </c>
      <c r="P203" s="17">
        <v>0.16017388578880601</v>
      </c>
      <c r="Q203" s="17">
        <v>6.0198318952039302E-2</v>
      </c>
      <c r="R203" s="17">
        <v>0.17462014216552599</v>
      </c>
      <c r="S203" s="17">
        <v>9.7027134537624599E-2</v>
      </c>
      <c r="T203" s="17">
        <v>0.163471977176261</v>
      </c>
      <c r="U203" s="17">
        <v>0.17015832507992501</v>
      </c>
      <c r="V203" s="17">
        <v>0.116850174489179</v>
      </c>
      <c r="W203" s="17"/>
      <c r="X203" s="17">
        <v>0.157394921873694</v>
      </c>
      <c r="Y203" s="17">
        <v>0.11980054515406</v>
      </c>
    </row>
    <row r="204" spans="2:25" x14ac:dyDescent="0.35">
      <c r="B204" t="s">
        <v>150</v>
      </c>
      <c r="C204" s="17">
        <v>0.130961225189409</v>
      </c>
      <c r="D204" s="17">
        <v>0.13485746737264501</v>
      </c>
      <c r="E204" s="17">
        <v>0.127012879110765</v>
      </c>
      <c r="F204" s="17"/>
      <c r="G204" s="17">
        <v>0.20712888457972201</v>
      </c>
      <c r="H204" s="17">
        <v>0.168190283144006</v>
      </c>
      <c r="I204" s="17">
        <v>0.15143373772001101</v>
      </c>
      <c r="J204" s="17">
        <v>0.113851052811689</v>
      </c>
      <c r="K204" s="17">
        <v>9.3765783575576203E-2</v>
      </c>
      <c r="L204" s="17">
        <v>0.103619467705797</v>
      </c>
      <c r="M204" s="17"/>
      <c r="N204" s="17">
        <v>0.12780135666084499</v>
      </c>
      <c r="O204" s="17">
        <v>0.13714227646988</v>
      </c>
      <c r="P204" s="17">
        <v>0.119225868051916</v>
      </c>
      <c r="Q204" s="17">
        <v>6.9540519973248893E-2</v>
      </c>
      <c r="R204" s="17">
        <v>0.130931620535233</v>
      </c>
      <c r="S204" s="17">
        <v>0.12827655973882801</v>
      </c>
      <c r="T204" s="17">
        <v>0.15693287758153501</v>
      </c>
      <c r="U204" s="17">
        <v>0.17892697390996601</v>
      </c>
      <c r="V204" s="17">
        <v>0.13318858497650399</v>
      </c>
      <c r="W204" s="17"/>
      <c r="X204" s="17">
        <v>0.147421415878046</v>
      </c>
      <c r="Y204" s="17">
        <v>0.121852706652377</v>
      </c>
    </row>
    <row r="205" spans="2:25" x14ac:dyDescent="0.35">
      <c r="B205" t="s">
        <v>149</v>
      </c>
      <c r="C205" s="17">
        <v>0.123525489332796</v>
      </c>
      <c r="D205" s="17">
        <v>0.12204038023948401</v>
      </c>
      <c r="E205" s="17">
        <v>0.124889305812638</v>
      </c>
      <c r="F205" s="17"/>
      <c r="G205" s="17">
        <v>0.200468621540108</v>
      </c>
      <c r="H205" s="17">
        <v>0.174191369585071</v>
      </c>
      <c r="I205" s="17">
        <v>0.175423599383733</v>
      </c>
      <c r="J205" s="17">
        <v>0.117461361536494</v>
      </c>
      <c r="K205" s="17">
        <v>8.5815444023268406E-2</v>
      </c>
      <c r="L205" s="17">
        <v>6.0573129510278698E-2</v>
      </c>
      <c r="M205" s="17"/>
      <c r="N205" s="17">
        <v>0.101544452579218</v>
      </c>
      <c r="O205" s="17">
        <v>0.127124889428229</v>
      </c>
      <c r="P205" s="17">
        <v>0.116422939432251</v>
      </c>
      <c r="Q205" s="17">
        <v>6.5808858098198905E-2</v>
      </c>
      <c r="R205" s="17">
        <v>0.15148652146889199</v>
      </c>
      <c r="S205" s="17">
        <v>0.11266676674937801</v>
      </c>
      <c r="T205" s="17">
        <v>0.137752906322226</v>
      </c>
      <c r="U205" s="17">
        <v>0.16768261164986401</v>
      </c>
      <c r="V205" s="17">
        <v>0.10564291365433801</v>
      </c>
      <c r="W205" s="17"/>
      <c r="X205" s="17">
        <v>0.14653889794542199</v>
      </c>
      <c r="Y205" s="17">
        <v>0.11079063935969601</v>
      </c>
    </row>
    <row r="206" spans="2:25" x14ac:dyDescent="0.35">
      <c r="B206" t="s">
        <v>145</v>
      </c>
      <c r="C206" s="17">
        <v>0.119412612948987</v>
      </c>
      <c r="D206" s="17">
        <v>0.123024955414664</v>
      </c>
      <c r="E206" s="17">
        <v>0.115913632173734</v>
      </c>
      <c r="F206" s="17"/>
      <c r="G206" s="17">
        <v>0.16127730594925399</v>
      </c>
      <c r="H206" s="17">
        <v>0.14350791351505801</v>
      </c>
      <c r="I206" s="17">
        <v>0.14082505619699101</v>
      </c>
      <c r="J206" s="17">
        <v>0.13342429643184001</v>
      </c>
      <c r="K206" s="17">
        <v>9.6576041192139195E-2</v>
      </c>
      <c r="L206" s="17">
        <v>8.1290283561235799E-2</v>
      </c>
      <c r="M206" s="17"/>
      <c r="N206" s="17">
        <v>5.2814540785210203E-2</v>
      </c>
      <c r="O206" s="17">
        <v>6.2665020429446203E-2</v>
      </c>
      <c r="P206" s="17">
        <v>0.10737099944054899</v>
      </c>
      <c r="Q206" s="17">
        <v>6.3511919549202503E-2</v>
      </c>
      <c r="R206" s="17">
        <v>0.144914722630441</v>
      </c>
      <c r="S206" s="17">
        <v>9.6255948792277501E-2</v>
      </c>
      <c r="T206" s="17">
        <v>0.122332424569029</v>
      </c>
      <c r="U206" s="17">
        <v>0.20999593425136401</v>
      </c>
      <c r="V206" s="17">
        <v>0.11127695524387</v>
      </c>
      <c r="W206" s="17"/>
      <c r="X206" s="17">
        <v>0.123416275524681</v>
      </c>
      <c r="Y206" s="17">
        <v>0.11719712009859699</v>
      </c>
    </row>
    <row r="207" spans="2:25" x14ac:dyDescent="0.35">
      <c r="B207" t="s">
        <v>151</v>
      </c>
      <c r="C207" s="17">
        <v>0.10597975596567601</v>
      </c>
      <c r="D207" s="17">
        <v>0.10821391218547199</v>
      </c>
      <c r="E207" s="17">
        <v>0.103486942517743</v>
      </c>
      <c r="F207" s="17"/>
      <c r="G207" s="17">
        <v>0.28704993538546703</v>
      </c>
      <c r="H207" s="17">
        <v>0.17736236240533099</v>
      </c>
      <c r="I207" s="17">
        <v>0.14766957557881699</v>
      </c>
      <c r="J207" s="17">
        <v>0.109069447278713</v>
      </c>
      <c r="K207" s="17">
        <v>3.79542034664812E-2</v>
      </c>
      <c r="L207" s="17">
        <v>1.2260002420505E-2</v>
      </c>
      <c r="M207" s="17"/>
      <c r="N207" s="17">
        <v>7.5138353113503295E-2</v>
      </c>
      <c r="O207" s="17">
        <v>5.7800404813509801E-2</v>
      </c>
      <c r="P207" s="17">
        <v>9.2649293446192396E-2</v>
      </c>
      <c r="Q207" s="17">
        <v>6.8877606808923797E-2</v>
      </c>
      <c r="R207" s="17">
        <v>0.123231987565631</v>
      </c>
      <c r="S207" s="17">
        <v>7.2959550781215299E-2</v>
      </c>
      <c r="T207" s="17">
        <v>0.13151876438483701</v>
      </c>
      <c r="U207" s="17">
        <v>0.159275153854574</v>
      </c>
      <c r="V207" s="17">
        <v>0.11350205811476</v>
      </c>
      <c r="W207" s="17"/>
      <c r="X207" s="17">
        <v>0.117939285806025</v>
      </c>
      <c r="Y207" s="17">
        <v>9.9361752486517907E-2</v>
      </c>
    </row>
    <row r="208" spans="2:25" x14ac:dyDescent="0.35">
      <c r="B208" t="s">
        <v>152</v>
      </c>
      <c r="C208" s="17">
        <v>6.5734069773335596E-2</v>
      </c>
      <c r="D208" s="17">
        <v>7.5540728311219801E-2</v>
      </c>
      <c r="E208" s="17">
        <v>5.6508780259667497E-2</v>
      </c>
      <c r="F208" s="17"/>
      <c r="G208" s="17">
        <v>0.13977311231581699</v>
      </c>
      <c r="H208" s="17">
        <v>0.11406832692126299</v>
      </c>
      <c r="I208" s="17">
        <v>9.1222671376096603E-2</v>
      </c>
      <c r="J208" s="17">
        <v>6.4204672578114394E-2</v>
      </c>
      <c r="K208" s="17">
        <v>4.3140717106520003E-2</v>
      </c>
      <c r="L208" s="17">
        <v>9.1342896986658009E-3</v>
      </c>
      <c r="M208" s="17"/>
      <c r="N208" s="17">
        <v>3.0122352707605E-2</v>
      </c>
      <c r="O208" s="17">
        <v>3.8662131992966198E-2</v>
      </c>
      <c r="P208" s="17">
        <v>4.56315269423926E-2</v>
      </c>
      <c r="Q208" s="17">
        <v>4.5514839383640003E-2</v>
      </c>
      <c r="R208" s="17">
        <v>6.4919988379655597E-2</v>
      </c>
      <c r="S208" s="17">
        <v>5.93630553083987E-2</v>
      </c>
      <c r="T208" s="17">
        <v>0.10435625535564499</v>
      </c>
      <c r="U208" s="17">
        <v>9.0575831679812605E-2</v>
      </c>
      <c r="V208" s="17">
        <v>5.7192361989142598E-2</v>
      </c>
      <c r="W208" s="17"/>
      <c r="X208" s="17">
        <v>9.0659315424175393E-2</v>
      </c>
      <c r="Y208" s="17">
        <v>5.1941273180311102E-2</v>
      </c>
    </row>
    <row r="209" spans="2:25" x14ac:dyDescent="0.35">
      <c r="B209" t="s">
        <v>153</v>
      </c>
      <c r="C209" s="17">
        <v>5.5265492575369099E-2</v>
      </c>
      <c r="D209" s="17">
        <v>6.61550058253213E-2</v>
      </c>
      <c r="E209" s="17">
        <v>4.4368793511758597E-2</v>
      </c>
      <c r="F209" s="17"/>
      <c r="G209" s="17">
        <v>0.14743608468573999</v>
      </c>
      <c r="H209" s="17">
        <v>9.6755839249236697E-2</v>
      </c>
      <c r="I209" s="17">
        <v>6.0210650605159698E-2</v>
      </c>
      <c r="J209" s="17">
        <v>5.0814125952374799E-2</v>
      </c>
      <c r="K209" s="17">
        <v>2.66673381864313E-2</v>
      </c>
      <c r="L209" s="17">
        <v>1.50964571046374E-2</v>
      </c>
      <c r="M209" s="17"/>
      <c r="N209" s="17">
        <v>4.4879722152604003E-2</v>
      </c>
      <c r="O209" s="17">
        <v>6.4099703859354706E-2</v>
      </c>
      <c r="P209" s="17">
        <v>6.5866481773849406E-2</v>
      </c>
      <c r="Q209" s="17">
        <v>4.4656534989484499E-2</v>
      </c>
      <c r="R209" s="17">
        <v>6.4427083740780003E-2</v>
      </c>
      <c r="S209" s="17">
        <v>4.8177841361327599E-2</v>
      </c>
      <c r="T209" s="17">
        <v>6.0132942132478003E-2</v>
      </c>
      <c r="U209" s="17">
        <v>5.4456322797114098E-2</v>
      </c>
      <c r="V209" s="17">
        <v>4.1019279497962198E-2</v>
      </c>
      <c r="W209" s="17"/>
      <c r="X209" s="17">
        <v>6.1377816903635397E-2</v>
      </c>
      <c r="Y209" s="17">
        <v>5.1883136896658702E-2</v>
      </c>
    </row>
    <row r="210" spans="2:25" x14ac:dyDescent="0.35">
      <c r="B210" t="s">
        <v>48</v>
      </c>
      <c r="C210" s="17">
        <v>0.38655286652982102</v>
      </c>
      <c r="D210" s="17">
        <v>0.38181680851101502</v>
      </c>
      <c r="E210" s="17">
        <v>0.39169066712136602</v>
      </c>
      <c r="F210" s="17"/>
      <c r="G210" s="17">
        <v>0.21319829979982099</v>
      </c>
      <c r="H210" s="17">
        <v>0.29945233097337098</v>
      </c>
      <c r="I210" s="17">
        <v>0.330707860099621</v>
      </c>
      <c r="J210" s="17">
        <v>0.43546305860624701</v>
      </c>
      <c r="K210" s="17">
        <v>0.45633764391300002</v>
      </c>
      <c r="L210" s="17">
        <v>0.45909391830816398</v>
      </c>
      <c r="M210" s="17"/>
      <c r="N210" s="17">
        <v>0.54490154693860304</v>
      </c>
      <c r="O210" s="17">
        <v>0.50310542141445602</v>
      </c>
      <c r="P210" s="17">
        <v>0.35328379478474398</v>
      </c>
      <c r="Q210" s="17">
        <v>0.49901308101396602</v>
      </c>
      <c r="R210" s="17">
        <v>0.274232649489485</v>
      </c>
      <c r="S210" s="17">
        <v>0.464475645878201</v>
      </c>
      <c r="T210" s="17">
        <v>0.32840041635176698</v>
      </c>
      <c r="U210" s="17">
        <v>0.30170401836494298</v>
      </c>
      <c r="V210" s="17">
        <v>0.49260643632648898</v>
      </c>
      <c r="W210" s="17"/>
      <c r="X210" s="17">
        <v>0.38269209735492699</v>
      </c>
      <c r="Y210" s="17">
        <v>0.38868928695543697</v>
      </c>
    </row>
    <row r="211" spans="2:25" x14ac:dyDescent="0.35">
      <c r="C211" s="17"/>
      <c r="D211" s="17"/>
      <c r="E211" s="17"/>
      <c r="F211" s="17"/>
      <c r="G211" s="17"/>
      <c r="H211" s="17"/>
      <c r="I211" s="17"/>
      <c r="J211" s="17"/>
      <c r="K211" s="17"/>
      <c r="L211" s="17"/>
      <c r="M211" s="17"/>
      <c r="N211" s="17"/>
      <c r="O211" s="17"/>
      <c r="P211" s="17"/>
      <c r="Q211" s="17"/>
      <c r="R211" s="17"/>
      <c r="S211" s="17"/>
      <c r="T211" s="17"/>
      <c r="U211" s="17"/>
      <c r="V211" s="17"/>
      <c r="W211" s="17"/>
      <c r="X211" s="17"/>
      <c r="Y211" s="17"/>
    </row>
    <row r="212" spans="2:25" x14ac:dyDescent="0.35">
      <c r="B212" s="6" t="s">
        <v>163</v>
      </c>
      <c r="C212" s="17"/>
      <c r="D212" s="17"/>
      <c r="E212" s="17"/>
      <c r="F212" s="17"/>
      <c r="G212" s="17"/>
      <c r="H212" s="17"/>
      <c r="I212" s="17"/>
      <c r="J212" s="17"/>
      <c r="K212" s="17"/>
      <c r="L212" s="17"/>
      <c r="M212" s="17"/>
      <c r="N212" s="17"/>
      <c r="O212" s="17"/>
      <c r="P212" s="17"/>
      <c r="Q212" s="17"/>
      <c r="R212" s="17"/>
      <c r="S212" s="17"/>
      <c r="T212" s="17"/>
      <c r="U212" s="17"/>
      <c r="V212" s="17"/>
      <c r="W212" s="17"/>
      <c r="X212" s="17"/>
      <c r="Y212" s="17"/>
    </row>
    <row r="213" spans="2:25" x14ac:dyDescent="0.35">
      <c r="B213" s="24" t="s">
        <v>534</v>
      </c>
      <c r="C213" s="17"/>
      <c r="D213" s="17"/>
      <c r="E213" s="17"/>
      <c r="F213" s="17"/>
      <c r="G213" s="17"/>
      <c r="H213" s="17"/>
      <c r="I213" s="17"/>
      <c r="J213" s="17"/>
      <c r="K213" s="17"/>
      <c r="L213" s="17"/>
      <c r="M213" s="17"/>
      <c r="N213" s="17"/>
      <c r="O213" s="17"/>
      <c r="P213" s="17"/>
      <c r="Q213" s="17"/>
      <c r="R213" s="17"/>
      <c r="S213" s="17"/>
      <c r="T213" s="17"/>
      <c r="U213" s="17"/>
      <c r="V213" s="17"/>
      <c r="W213" s="17"/>
      <c r="X213" s="17"/>
      <c r="Y213" s="17"/>
    </row>
    <row r="214" spans="2:25" x14ac:dyDescent="0.35">
      <c r="B214" t="s">
        <v>156</v>
      </c>
      <c r="C214" s="17">
        <v>0.19398305120971401</v>
      </c>
      <c r="D214" s="17">
        <v>0.196077473630931</v>
      </c>
      <c r="E214" s="17">
        <v>0.19079971979818999</v>
      </c>
      <c r="F214" s="17"/>
      <c r="G214" s="17">
        <v>0.20935635633942201</v>
      </c>
      <c r="H214" s="17">
        <v>0.17944869329302099</v>
      </c>
      <c r="I214" s="17">
        <v>0.17831067144429999</v>
      </c>
      <c r="J214" s="17">
        <v>0.20011715091059301</v>
      </c>
      <c r="K214" s="17">
        <v>0.21442369705674399</v>
      </c>
      <c r="L214" s="17">
        <v>0.211610149019204</v>
      </c>
      <c r="M214" s="17"/>
      <c r="N214" s="17">
        <v>0.147222211822501</v>
      </c>
      <c r="O214" s="17">
        <v>0.15200035417444899</v>
      </c>
      <c r="P214" s="17">
        <v>0.209477279708881</v>
      </c>
      <c r="Q214" s="17">
        <v>0.17978825035183499</v>
      </c>
      <c r="R214" s="17">
        <v>0.184961401662286</v>
      </c>
      <c r="S214" s="17">
        <v>0.16534330797074701</v>
      </c>
      <c r="T214" s="17">
        <v>0.237097212231028</v>
      </c>
      <c r="U214" s="17">
        <v>0.21061752238567899</v>
      </c>
      <c r="V214" s="17">
        <v>0.16520836302110301</v>
      </c>
      <c r="W214" s="17"/>
      <c r="X214" s="17">
        <v>0.11321671532835401</v>
      </c>
      <c r="Y214" s="17">
        <v>0.26001825535085199</v>
      </c>
    </row>
    <row r="215" spans="2:25" x14ac:dyDescent="0.35">
      <c r="B215" t="s">
        <v>157</v>
      </c>
      <c r="C215" s="17">
        <v>0.20833991645866701</v>
      </c>
      <c r="D215" s="17">
        <v>0.18882668666649999</v>
      </c>
      <c r="E215" s="17">
        <v>0.23254815563405401</v>
      </c>
      <c r="F215" s="17"/>
      <c r="G215" s="17">
        <v>0.185230246890948</v>
      </c>
      <c r="H215" s="17">
        <v>0.24248117837503499</v>
      </c>
      <c r="I215" s="17">
        <v>0.18481362111237201</v>
      </c>
      <c r="J215" s="17">
        <v>0.20123072496031799</v>
      </c>
      <c r="K215" s="17">
        <v>0.206203956602143</v>
      </c>
      <c r="L215" s="17">
        <v>0.246379957107457</v>
      </c>
      <c r="M215" s="17"/>
      <c r="N215" s="17">
        <v>0.236018440415451</v>
      </c>
      <c r="O215" s="17">
        <v>0.37729536209815601</v>
      </c>
      <c r="P215" s="17">
        <v>0.17435647709080601</v>
      </c>
      <c r="Q215" s="17">
        <v>0.33443265283742402</v>
      </c>
      <c r="R215" s="17">
        <v>0.132129079347614</v>
      </c>
      <c r="S215" s="17">
        <v>0.28927101331146199</v>
      </c>
      <c r="T215" s="17">
        <v>8.9177688069540295E-2</v>
      </c>
      <c r="U215" s="17">
        <v>0.18258627406735001</v>
      </c>
      <c r="V215" s="17">
        <v>0.23529599385862399</v>
      </c>
      <c r="W215" s="17"/>
      <c r="X215" s="17">
        <v>0.249832702125592</v>
      </c>
      <c r="Y215" s="17">
        <v>0.17441508203353501</v>
      </c>
    </row>
    <row r="216" spans="2:25" x14ac:dyDescent="0.35">
      <c r="B216" t="s">
        <v>158</v>
      </c>
      <c r="C216" s="17">
        <v>0.214926979136074</v>
      </c>
      <c r="D216" s="17">
        <v>0.22671642847428999</v>
      </c>
      <c r="E216" s="17">
        <v>0.200467328517278</v>
      </c>
      <c r="F216" s="17"/>
      <c r="G216" s="17">
        <v>0.218272172578278</v>
      </c>
      <c r="H216" s="17">
        <v>0.188911127476666</v>
      </c>
      <c r="I216" s="17">
        <v>0.23032469804611999</v>
      </c>
      <c r="J216" s="17">
        <v>0.21677764907448799</v>
      </c>
      <c r="K216" s="17">
        <v>0.229464519363343</v>
      </c>
      <c r="L216" s="17">
        <v>0.19124369803146701</v>
      </c>
      <c r="M216" s="17"/>
      <c r="N216" s="17">
        <v>0.188516412659439</v>
      </c>
      <c r="O216" s="17">
        <v>0.222357547686305</v>
      </c>
      <c r="P216" s="17">
        <v>0.20859126660511201</v>
      </c>
      <c r="Q216" s="17">
        <v>0.21076250704510899</v>
      </c>
      <c r="R216" s="17">
        <v>0.187149211219648</v>
      </c>
      <c r="S216" s="17">
        <v>0.20793133081944601</v>
      </c>
      <c r="T216" s="17">
        <v>0.19077401273542699</v>
      </c>
      <c r="U216" s="17">
        <v>0.25508708786050799</v>
      </c>
      <c r="V216" s="17">
        <v>0.29420922089554702</v>
      </c>
      <c r="W216" s="17"/>
      <c r="X216" s="17">
        <v>0.24425849777306699</v>
      </c>
      <c r="Y216" s="17">
        <v>0.19094529419485601</v>
      </c>
    </row>
    <row r="217" spans="2:25" x14ac:dyDescent="0.35">
      <c r="B217" t="s">
        <v>159</v>
      </c>
      <c r="C217" s="17">
        <v>0.15181202716790099</v>
      </c>
      <c r="D217" s="17">
        <v>0.16515439528234599</v>
      </c>
      <c r="E217" s="17">
        <v>0.13466622958507801</v>
      </c>
      <c r="F217" s="17"/>
      <c r="G217" s="17">
        <v>0.22054275146337399</v>
      </c>
      <c r="H217" s="17">
        <v>0.17603815854035201</v>
      </c>
      <c r="I217" s="17">
        <v>0.15995111337502599</v>
      </c>
      <c r="J217" s="17">
        <v>0.14002317694491601</v>
      </c>
      <c r="K217" s="17">
        <v>0.108038053319535</v>
      </c>
      <c r="L217" s="17">
        <v>0.114667668833972</v>
      </c>
      <c r="M217" s="17"/>
      <c r="N217" s="17">
        <v>0.114426537288708</v>
      </c>
      <c r="O217" s="17">
        <v>9.0841744606734498E-2</v>
      </c>
      <c r="P217" s="17">
        <v>0.161479894174375</v>
      </c>
      <c r="Q217" s="17">
        <v>0.10079902744859801</v>
      </c>
      <c r="R217" s="17">
        <v>0.182026752521871</v>
      </c>
      <c r="S217" s="17">
        <v>0.141345309167144</v>
      </c>
      <c r="T217" s="17">
        <v>0.18987441422638299</v>
      </c>
      <c r="U217" s="17">
        <v>0.16205421082903601</v>
      </c>
      <c r="V217" s="17">
        <v>0.13368207554902301</v>
      </c>
      <c r="W217" s="17"/>
      <c r="X217" s="17">
        <v>0.173278108574979</v>
      </c>
      <c r="Y217" s="17">
        <v>0.134261186804053</v>
      </c>
    </row>
    <row r="218" spans="2:25" x14ac:dyDescent="0.35">
      <c r="B218" t="s">
        <v>160</v>
      </c>
      <c r="C218" s="17">
        <v>7.1621909489796506E-2</v>
      </c>
      <c r="D218" s="17">
        <v>8.5267913694880501E-2</v>
      </c>
      <c r="E218" s="17">
        <v>5.5471671383468299E-2</v>
      </c>
      <c r="F218" s="17"/>
      <c r="G218" s="17">
        <v>7.5679125882829101E-2</v>
      </c>
      <c r="H218" s="17">
        <v>8.6049826772434695E-2</v>
      </c>
      <c r="I218" s="17">
        <v>7.33278012323441E-2</v>
      </c>
      <c r="J218" s="17">
        <v>6.15788645333218E-2</v>
      </c>
      <c r="K218" s="17">
        <v>6.2769189355165705E-2</v>
      </c>
      <c r="L218" s="17">
        <v>7.2677881063071506E-2</v>
      </c>
      <c r="M218" s="17"/>
      <c r="N218" s="17">
        <v>0.10816258901296801</v>
      </c>
      <c r="O218" s="17">
        <v>1.28860231694849E-2</v>
      </c>
      <c r="P218" s="17">
        <v>5.92153267679741E-2</v>
      </c>
      <c r="Q218" s="17">
        <v>5.0454123817699398E-2</v>
      </c>
      <c r="R218" s="17">
        <v>9.0223822906741094E-2</v>
      </c>
      <c r="S218" s="17">
        <v>5.33075891782877E-2</v>
      </c>
      <c r="T218" s="17">
        <v>9.5940003056346507E-2</v>
      </c>
      <c r="U218" s="17">
        <v>8.4924177440164506E-2</v>
      </c>
      <c r="V218" s="17">
        <v>6.8334664637015902E-2</v>
      </c>
      <c r="W218" s="17"/>
      <c r="X218" s="17">
        <v>7.3599409619266601E-2</v>
      </c>
      <c r="Y218" s="17">
        <v>7.0005089520019798E-2</v>
      </c>
    </row>
    <row r="219" spans="2:25" x14ac:dyDescent="0.35">
      <c r="B219" t="s">
        <v>161</v>
      </c>
      <c r="C219" s="17">
        <v>6.9979086542004701E-2</v>
      </c>
      <c r="D219" s="17">
        <v>6.3393655547780203E-2</v>
      </c>
      <c r="E219" s="17">
        <v>7.8332337261743004E-2</v>
      </c>
      <c r="F219" s="17"/>
      <c r="G219" s="17">
        <v>4.3521433476175903E-2</v>
      </c>
      <c r="H219" s="17">
        <v>5.9449027829405997E-2</v>
      </c>
      <c r="I219" s="17">
        <v>7.6051122774254701E-2</v>
      </c>
      <c r="J219" s="17">
        <v>8.23257710008755E-2</v>
      </c>
      <c r="K219" s="17">
        <v>6.0664407437883802E-2</v>
      </c>
      <c r="L219" s="17">
        <v>9.7672536102643204E-2</v>
      </c>
      <c r="M219" s="17"/>
      <c r="N219" s="17">
        <v>8.8250519527689003E-2</v>
      </c>
      <c r="O219" s="17">
        <v>4.5131507426358797E-2</v>
      </c>
      <c r="P219" s="17">
        <v>9.73874054551679E-2</v>
      </c>
      <c r="Q219" s="17">
        <v>3.0099864840451102E-2</v>
      </c>
      <c r="R219" s="17">
        <v>0.12306676829964799</v>
      </c>
      <c r="S219" s="17">
        <v>5.86740153175438E-2</v>
      </c>
      <c r="T219" s="17">
        <v>9.8201421493495297E-2</v>
      </c>
      <c r="U219" s="17">
        <v>4.1732933721829901E-2</v>
      </c>
      <c r="V219" s="17">
        <v>1.6188553106196199E-2</v>
      </c>
      <c r="W219" s="17"/>
      <c r="X219" s="17">
        <v>7.0313865089669705E-2</v>
      </c>
      <c r="Y219" s="17">
        <v>6.9705368915769894E-2</v>
      </c>
    </row>
    <row r="220" spans="2:25" x14ac:dyDescent="0.35">
      <c r="B220" t="s">
        <v>162</v>
      </c>
      <c r="C220" s="17">
        <v>8.9337029995841699E-2</v>
      </c>
      <c r="D220" s="17">
        <v>7.4563446703272404E-2</v>
      </c>
      <c r="E220" s="17">
        <v>0.10771455782019</v>
      </c>
      <c r="F220" s="17"/>
      <c r="G220" s="17">
        <v>4.7397913368972699E-2</v>
      </c>
      <c r="H220" s="17">
        <v>6.7621987713084794E-2</v>
      </c>
      <c r="I220" s="17">
        <v>9.7220972015583301E-2</v>
      </c>
      <c r="J220" s="17">
        <v>9.7946662575487106E-2</v>
      </c>
      <c r="K220" s="17">
        <v>0.118436176865186</v>
      </c>
      <c r="L220" s="17">
        <v>6.5748109842185001E-2</v>
      </c>
      <c r="M220" s="17"/>
      <c r="N220" s="17">
        <v>0.117403289273245</v>
      </c>
      <c r="O220" s="17">
        <v>9.9487460838511593E-2</v>
      </c>
      <c r="P220" s="17">
        <v>8.9492350197683604E-2</v>
      </c>
      <c r="Q220" s="17">
        <v>9.3663573658883503E-2</v>
      </c>
      <c r="R220" s="17">
        <v>0.100442964042191</v>
      </c>
      <c r="S220" s="17">
        <v>8.41274342353696E-2</v>
      </c>
      <c r="T220" s="17">
        <v>9.8935248187779698E-2</v>
      </c>
      <c r="U220" s="17">
        <v>6.2997793695431695E-2</v>
      </c>
      <c r="V220" s="17">
        <v>8.7081128932490107E-2</v>
      </c>
      <c r="W220" s="17"/>
      <c r="X220" s="17">
        <v>7.5500701489072397E-2</v>
      </c>
      <c r="Y220" s="17">
        <v>0.100649723180914</v>
      </c>
    </row>
    <row r="221" spans="2:25" x14ac:dyDescent="0.35">
      <c r="C221" s="17"/>
      <c r="D221" s="17"/>
      <c r="E221" s="17"/>
      <c r="F221" s="17"/>
      <c r="G221" s="17"/>
      <c r="H221" s="17"/>
      <c r="I221" s="17"/>
      <c r="J221" s="17"/>
      <c r="K221" s="17"/>
      <c r="L221" s="17"/>
      <c r="M221" s="17"/>
      <c r="N221" s="17"/>
      <c r="O221" s="17"/>
      <c r="P221" s="17"/>
      <c r="Q221" s="17"/>
      <c r="R221" s="17"/>
      <c r="S221" s="17"/>
      <c r="T221" s="17"/>
      <c r="U221" s="17"/>
      <c r="V221" s="17"/>
      <c r="W221" s="17"/>
      <c r="X221" s="17"/>
      <c r="Y221" s="17"/>
    </row>
    <row r="222" spans="2:25" x14ac:dyDescent="0.35">
      <c r="B222" s="6" t="s">
        <v>183</v>
      </c>
      <c r="C222" s="17"/>
      <c r="D222" s="17"/>
      <c r="E222" s="17"/>
      <c r="F222" s="17"/>
      <c r="G222" s="17"/>
      <c r="H222" s="17"/>
      <c r="I222" s="17"/>
      <c r="J222" s="17"/>
      <c r="K222" s="17"/>
      <c r="L222" s="17"/>
      <c r="M222" s="17"/>
      <c r="N222" s="17"/>
      <c r="O222" s="17"/>
      <c r="P222" s="17"/>
      <c r="Q222" s="17"/>
      <c r="R222" s="17"/>
      <c r="S222" s="17"/>
      <c r="T222" s="17"/>
      <c r="U222" s="17"/>
      <c r="V222" s="17"/>
      <c r="W222" s="17"/>
      <c r="X222" s="17"/>
      <c r="Y222" s="17"/>
    </row>
    <row r="223" spans="2:25" x14ac:dyDescent="0.35">
      <c r="B223" s="24" t="s">
        <v>50</v>
      </c>
      <c r="C223" s="17"/>
      <c r="D223" s="17"/>
      <c r="E223" s="17"/>
      <c r="F223" s="17"/>
      <c r="G223" s="17"/>
      <c r="H223" s="17"/>
      <c r="I223" s="17"/>
      <c r="J223" s="17"/>
      <c r="K223" s="17"/>
      <c r="L223" s="17"/>
      <c r="M223" s="17"/>
      <c r="N223" s="17"/>
      <c r="O223" s="17"/>
      <c r="P223" s="17"/>
      <c r="Q223" s="17"/>
      <c r="R223" s="17"/>
      <c r="S223" s="17"/>
      <c r="T223" s="17"/>
      <c r="U223" s="17"/>
      <c r="V223" s="17"/>
      <c r="W223" s="17"/>
      <c r="X223" s="17"/>
      <c r="Y223" s="17"/>
    </row>
    <row r="224" spans="2:25" x14ac:dyDescent="0.35">
      <c r="B224" t="s">
        <v>85</v>
      </c>
      <c r="C224" s="17">
        <v>0.57763535261759802</v>
      </c>
      <c r="D224" s="17">
        <v>0.60021455919431999</v>
      </c>
      <c r="E224" s="17">
        <v>0.55557467850828901</v>
      </c>
      <c r="F224" s="17"/>
      <c r="G224" s="17">
        <v>0.64090454390990104</v>
      </c>
      <c r="H224" s="17">
        <v>0.64193481382634399</v>
      </c>
      <c r="I224" s="17">
        <v>0.60243344146627498</v>
      </c>
      <c r="J224" s="17">
        <v>0.58808292001109097</v>
      </c>
      <c r="K224" s="17">
        <v>0.57598569646041298</v>
      </c>
      <c r="L224" s="17">
        <v>0.49406531329298597</v>
      </c>
      <c r="M224" s="17"/>
      <c r="N224" s="17">
        <v>0.68304462813183797</v>
      </c>
      <c r="O224" s="17">
        <v>0.61660811745266397</v>
      </c>
      <c r="P224" s="17">
        <v>0.512869211853344</v>
      </c>
      <c r="Q224" s="17">
        <v>0.67510933592085998</v>
      </c>
      <c r="R224" s="17">
        <v>0.526400327140358</v>
      </c>
      <c r="S224" s="17">
        <v>0.64559469042945805</v>
      </c>
      <c r="T224" s="17">
        <v>0.60432321763202401</v>
      </c>
      <c r="U224" s="17">
        <v>0.43776044225074801</v>
      </c>
      <c r="V224" s="17">
        <v>0.663514171738256</v>
      </c>
      <c r="W224" s="17"/>
      <c r="X224" s="17">
        <v>0.66826952493969205</v>
      </c>
      <c r="Y224" s="17">
        <v>0.52748143555184401</v>
      </c>
    </row>
    <row r="225" spans="2:25" x14ac:dyDescent="0.35">
      <c r="B225" t="s">
        <v>86</v>
      </c>
      <c r="C225" s="17">
        <v>0.27101484721642999</v>
      </c>
      <c r="D225" s="17">
        <v>0.26445097879686102</v>
      </c>
      <c r="E225" s="17">
        <v>0.27804574803772603</v>
      </c>
      <c r="F225" s="17"/>
      <c r="G225" s="17">
        <v>0.23888536800906601</v>
      </c>
      <c r="H225" s="17">
        <v>0.25243546024076602</v>
      </c>
      <c r="I225" s="17">
        <v>0.28156119417543701</v>
      </c>
      <c r="J225" s="17">
        <v>0.264379927935668</v>
      </c>
      <c r="K225" s="17">
        <v>0.25970774518971901</v>
      </c>
      <c r="L225" s="17">
        <v>0.299181983064641</v>
      </c>
      <c r="M225" s="17"/>
      <c r="N225" s="17">
        <v>0.22238667473319901</v>
      </c>
      <c r="O225" s="17">
        <v>0.22595407495386399</v>
      </c>
      <c r="P225" s="17">
        <v>0.309142930839927</v>
      </c>
      <c r="Q225" s="17">
        <v>0.20213728391869801</v>
      </c>
      <c r="R225" s="17">
        <v>0.33731937650933103</v>
      </c>
      <c r="S225" s="17">
        <v>0.22252447539246001</v>
      </c>
      <c r="T225" s="17">
        <v>0.23879013070577701</v>
      </c>
      <c r="U225" s="17">
        <v>0.35724870262206698</v>
      </c>
      <c r="V225" s="17">
        <v>0.215686888937654</v>
      </c>
      <c r="W225" s="17"/>
      <c r="X225" s="17">
        <v>0.23178669561078899</v>
      </c>
      <c r="Y225" s="17">
        <v>0.29272239318794602</v>
      </c>
    </row>
    <row r="226" spans="2:25" x14ac:dyDescent="0.35">
      <c r="B226" t="s">
        <v>181</v>
      </c>
      <c r="C226" s="17">
        <v>8.8395844847715593E-2</v>
      </c>
      <c r="D226" s="17">
        <v>8.3289226326393295E-2</v>
      </c>
      <c r="E226" s="17">
        <v>9.3218649992819397E-2</v>
      </c>
      <c r="F226" s="17"/>
      <c r="G226" s="17">
        <v>8.3645961463940696E-2</v>
      </c>
      <c r="H226" s="17">
        <v>7.4672618999197998E-2</v>
      </c>
      <c r="I226" s="17">
        <v>7.9998579155739297E-2</v>
      </c>
      <c r="J226" s="17">
        <v>8.5259708156203304E-2</v>
      </c>
      <c r="K226" s="17">
        <v>8.7634776606003301E-2</v>
      </c>
      <c r="L226" s="17">
        <v>0.10631791673409401</v>
      </c>
      <c r="M226" s="17"/>
      <c r="N226" s="17">
        <v>3.4882802569070497E-2</v>
      </c>
      <c r="O226" s="17">
        <v>6.0528215945212203E-2</v>
      </c>
      <c r="P226" s="17">
        <v>9.5804050127300006E-2</v>
      </c>
      <c r="Q226" s="17">
        <v>6.2601517276326402E-2</v>
      </c>
      <c r="R226" s="17">
        <v>9.1591695300042297E-2</v>
      </c>
      <c r="S226" s="17">
        <v>7.2945896587791395E-2</v>
      </c>
      <c r="T226" s="17">
        <v>0.111406258628669</v>
      </c>
      <c r="U226" s="17">
        <v>0.11728613652449001</v>
      </c>
      <c r="V226" s="17">
        <v>7.6466359832656303E-2</v>
      </c>
      <c r="W226" s="17"/>
      <c r="X226" s="17">
        <v>6.5324398419077001E-2</v>
      </c>
      <c r="Y226" s="17">
        <v>0.10116281100543301</v>
      </c>
    </row>
    <row r="227" spans="2:25" x14ac:dyDescent="0.35">
      <c r="B227" t="s">
        <v>88</v>
      </c>
      <c r="C227" s="17">
        <v>2.5659074898013699E-2</v>
      </c>
      <c r="D227" s="17">
        <v>2.4306156202019698E-2</v>
      </c>
      <c r="E227" s="17">
        <v>2.6720974220256901E-2</v>
      </c>
      <c r="F227" s="17"/>
      <c r="G227" s="17">
        <v>2.3379599433064901E-2</v>
      </c>
      <c r="H227" s="17">
        <v>2.0606266382535699E-2</v>
      </c>
      <c r="I227" s="17">
        <v>1.47680628977541E-2</v>
      </c>
      <c r="J227" s="17">
        <v>3.0002429675695601E-2</v>
      </c>
      <c r="K227" s="17">
        <v>2.0394761632932398E-2</v>
      </c>
      <c r="L227" s="17">
        <v>3.69816763341487E-2</v>
      </c>
      <c r="M227" s="17"/>
      <c r="N227" s="17">
        <v>2.62132851606822E-2</v>
      </c>
      <c r="O227" s="17">
        <v>7.9859033239601696E-2</v>
      </c>
      <c r="P227" s="17">
        <v>2.8416464304452001E-2</v>
      </c>
      <c r="Q227" s="17">
        <v>2.07127681519216E-2</v>
      </c>
      <c r="R227" s="17">
        <v>2.0738053287162699E-2</v>
      </c>
      <c r="S227" s="17">
        <v>1.76199253261374E-2</v>
      </c>
      <c r="T227" s="17">
        <v>2.0625737568496502E-2</v>
      </c>
      <c r="U227" s="17">
        <v>3.61141267928132E-2</v>
      </c>
      <c r="V227" s="17">
        <v>2.2675187045968201E-2</v>
      </c>
      <c r="W227" s="17"/>
      <c r="X227" s="17">
        <v>2.01505170065184E-2</v>
      </c>
      <c r="Y227" s="17">
        <v>2.87073264411528E-2</v>
      </c>
    </row>
    <row r="228" spans="2:25" x14ac:dyDescent="0.35">
      <c r="B228" t="s">
        <v>89</v>
      </c>
      <c r="C228" s="17">
        <v>1.75253477692516E-2</v>
      </c>
      <c r="D228" s="17">
        <v>1.42166690962824E-2</v>
      </c>
      <c r="E228" s="17">
        <v>2.0710265953941799E-2</v>
      </c>
      <c r="F228" s="17"/>
      <c r="G228" s="17">
        <v>8.4598149561980005E-3</v>
      </c>
      <c r="H228" s="17">
        <v>1.0217114419984899E-3</v>
      </c>
      <c r="I228" s="17">
        <v>4.7612891803321799E-3</v>
      </c>
      <c r="J228" s="17">
        <v>1.04871454847706E-2</v>
      </c>
      <c r="K228" s="17">
        <v>3.5454604996434901E-2</v>
      </c>
      <c r="L228" s="17">
        <v>3.1864664265353199E-2</v>
      </c>
      <c r="M228" s="17"/>
      <c r="N228" s="17">
        <v>1.9948301598360401E-2</v>
      </c>
      <c r="O228" s="17">
        <v>8.6306365702223092E-3</v>
      </c>
      <c r="P228" s="17">
        <v>2.2849704860769201E-2</v>
      </c>
      <c r="Q228" s="17">
        <v>1.9769443072992599E-2</v>
      </c>
      <c r="R228" s="17">
        <v>6.8464681003160902E-3</v>
      </c>
      <c r="S228" s="17">
        <v>2.1451579668142699E-2</v>
      </c>
      <c r="T228" s="17">
        <v>1.1468924712983899E-2</v>
      </c>
      <c r="U228" s="17">
        <v>2.8411867228138099E-2</v>
      </c>
      <c r="V228" s="17">
        <v>6.65549377108547E-3</v>
      </c>
      <c r="W228" s="17"/>
      <c r="X228" s="17">
        <v>6.1850397172391004E-3</v>
      </c>
      <c r="Y228" s="17">
        <v>2.3800694638636401E-2</v>
      </c>
    </row>
    <row r="229" spans="2:25" x14ac:dyDescent="0.35">
      <c r="B229" t="s">
        <v>69</v>
      </c>
      <c r="C229" s="17">
        <v>1.9769532650991298E-2</v>
      </c>
      <c r="D229" s="17">
        <v>1.35224103841242E-2</v>
      </c>
      <c r="E229" s="17">
        <v>2.57296832869673E-2</v>
      </c>
      <c r="F229" s="17"/>
      <c r="G229" s="17">
        <v>4.7247122278300498E-3</v>
      </c>
      <c r="H229" s="17">
        <v>9.3291291091582105E-3</v>
      </c>
      <c r="I229" s="17">
        <v>1.6477433124462398E-2</v>
      </c>
      <c r="J229" s="17">
        <v>2.1787868736570799E-2</v>
      </c>
      <c r="K229" s="17">
        <v>2.0822415114497301E-2</v>
      </c>
      <c r="L229" s="17">
        <v>3.1588446308777003E-2</v>
      </c>
      <c r="M229" s="17"/>
      <c r="N229" s="17">
        <v>1.35243078068507E-2</v>
      </c>
      <c r="O229" s="17">
        <v>8.4199218384367405E-3</v>
      </c>
      <c r="P229" s="17">
        <v>3.0917638014207698E-2</v>
      </c>
      <c r="Q229" s="17">
        <v>1.9669651659200999E-2</v>
      </c>
      <c r="R229" s="17">
        <v>1.7104079662790601E-2</v>
      </c>
      <c r="S229" s="17">
        <v>1.98634325960102E-2</v>
      </c>
      <c r="T229" s="17">
        <v>1.33857307520494E-2</v>
      </c>
      <c r="U229" s="17">
        <v>2.31787245817432E-2</v>
      </c>
      <c r="V229" s="17">
        <v>1.50018986743796E-2</v>
      </c>
      <c r="W229" s="17"/>
      <c r="X229" s="17">
        <v>8.2838243066844699E-3</v>
      </c>
      <c r="Y229" s="17">
        <v>2.61253391749879E-2</v>
      </c>
    </row>
    <row r="230" spans="2:25" x14ac:dyDescent="0.35">
      <c r="B230" t="s">
        <v>90</v>
      </c>
      <c r="C230" s="17">
        <v>0.84865019983402801</v>
      </c>
      <c r="D230" s="17">
        <v>0.86466553799117996</v>
      </c>
      <c r="E230" s="17">
        <v>0.83362042654601498</v>
      </c>
      <c r="F230" s="17"/>
      <c r="G230" s="17">
        <v>0.87978991191896605</v>
      </c>
      <c r="H230" s="17">
        <v>0.89437027406711</v>
      </c>
      <c r="I230" s="17">
        <v>0.88399463564171199</v>
      </c>
      <c r="J230" s="17">
        <v>0.85246284794675997</v>
      </c>
      <c r="K230" s="17">
        <v>0.83569344165013204</v>
      </c>
      <c r="L230" s="17">
        <v>0.79324729635762703</v>
      </c>
      <c r="M230" s="17"/>
      <c r="N230" s="17">
        <v>0.90543130286503604</v>
      </c>
      <c r="O230" s="17">
        <v>0.84256219240652697</v>
      </c>
      <c r="P230" s="17">
        <v>0.82201214269327105</v>
      </c>
      <c r="Q230" s="17">
        <v>0.87724661983955798</v>
      </c>
      <c r="R230" s="17">
        <v>0.86371970364968798</v>
      </c>
      <c r="S230" s="17">
        <v>0.86811916582191795</v>
      </c>
      <c r="T230" s="17">
        <v>0.84311334833780105</v>
      </c>
      <c r="U230" s="17">
        <v>0.79500914487281504</v>
      </c>
      <c r="V230" s="17">
        <v>0.87920106067590997</v>
      </c>
      <c r="W230" s="17"/>
      <c r="X230" s="17">
        <v>0.90005622055048096</v>
      </c>
      <c r="Y230" s="17">
        <v>0.82020382873978903</v>
      </c>
    </row>
    <row r="231" spans="2:25" x14ac:dyDescent="0.35">
      <c r="B231" t="s">
        <v>91</v>
      </c>
      <c r="C231" s="17">
        <v>4.3184422667265299E-2</v>
      </c>
      <c r="D231" s="17">
        <v>3.8522825298302199E-2</v>
      </c>
      <c r="E231" s="17">
        <v>4.74312401741986E-2</v>
      </c>
      <c r="F231" s="17"/>
      <c r="G231" s="17">
        <v>3.1839414389262903E-2</v>
      </c>
      <c r="H231" s="17">
        <v>2.1627977824534201E-2</v>
      </c>
      <c r="I231" s="17">
        <v>1.9529352078086301E-2</v>
      </c>
      <c r="J231" s="17">
        <v>4.0489575160466203E-2</v>
      </c>
      <c r="K231" s="17">
        <v>5.5849366629367403E-2</v>
      </c>
      <c r="L231" s="17">
        <v>6.8846340599501898E-2</v>
      </c>
      <c r="M231" s="17"/>
      <c r="N231" s="17">
        <v>4.6161586759042701E-2</v>
      </c>
      <c r="O231" s="17">
        <v>8.8489669809824006E-2</v>
      </c>
      <c r="P231" s="17">
        <v>5.1266169165221198E-2</v>
      </c>
      <c r="Q231" s="17">
        <v>4.0482211224914202E-2</v>
      </c>
      <c r="R231" s="17">
        <v>2.75845213874788E-2</v>
      </c>
      <c r="S231" s="17">
        <v>3.90715049942802E-2</v>
      </c>
      <c r="T231" s="17">
        <v>3.2094662281480398E-2</v>
      </c>
      <c r="U231" s="17">
        <v>6.4525994020951299E-2</v>
      </c>
      <c r="V231" s="17">
        <v>2.93306808170536E-2</v>
      </c>
      <c r="W231" s="17"/>
      <c r="X231" s="17">
        <v>2.6335556723757501E-2</v>
      </c>
      <c r="Y231" s="17">
        <v>5.2508021079789198E-2</v>
      </c>
    </row>
    <row r="232" spans="2:25" x14ac:dyDescent="0.35">
      <c r="B232" t="s">
        <v>92</v>
      </c>
      <c r="C232" s="17">
        <v>0.80546577716676204</v>
      </c>
      <c r="D232" s="17">
        <v>0.82614271269287798</v>
      </c>
      <c r="E232" s="17">
        <v>0.78618918637181601</v>
      </c>
      <c r="F232" s="17"/>
      <c r="G232" s="17">
        <v>0.84795049752970297</v>
      </c>
      <c r="H232" s="17">
        <v>0.87274229624257504</v>
      </c>
      <c r="I232" s="17">
        <v>0.86446528356362595</v>
      </c>
      <c r="J232" s="17">
        <v>0.81197327278629305</v>
      </c>
      <c r="K232" s="17">
        <v>0.77984407502076403</v>
      </c>
      <c r="L232" s="17">
        <v>0.72440095575812502</v>
      </c>
      <c r="M232" s="17"/>
      <c r="N232" s="17">
        <v>0.85926971610599301</v>
      </c>
      <c r="O232" s="17">
        <v>0.75407252259670299</v>
      </c>
      <c r="P232" s="17">
        <v>0.77074597352804997</v>
      </c>
      <c r="Q232" s="17">
        <v>0.83676440861464396</v>
      </c>
      <c r="R232" s="17">
        <v>0.83613518226220995</v>
      </c>
      <c r="S232" s="17">
        <v>0.82904766082763803</v>
      </c>
      <c r="T232" s="17">
        <v>0.81101868605632099</v>
      </c>
      <c r="U232" s="17">
        <v>0.73048315085186399</v>
      </c>
      <c r="V232" s="17">
        <v>0.84987037985885705</v>
      </c>
      <c r="W232" s="17"/>
      <c r="X232" s="17">
        <v>0.87372066382672298</v>
      </c>
      <c r="Y232" s="17">
        <v>0.76769580766000001</v>
      </c>
    </row>
    <row r="233" spans="2:25" x14ac:dyDescent="0.35">
      <c r="C233" s="17"/>
      <c r="D233" s="17"/>
      <c r="E233" s="17"/>
      <c r="F233" s="17"/>
      <c r="G233" s="17"/>
      <c r="H233" s="17"/>
      <c r="I233" s="17"/>
      <c r="J233" s="17"/>
      <c r="K233" s="17"/>
      <c r="L233" s="17"/>
      <c r="M233" s="17"/>
      <c r="N233" s="17"/>
      <c r="O233" s="17"/>
      <c r="P233" s="17"/>
      <c r="Q233" s="17"/>
      <c r="R233" s="17"/>
      <c r="S233" s="17"/>
      <c r="T233" s="17"/>
      <c r="U233" s="17"/>
      <c r="V233" s="17"/>
      <c r="W233" s="17"/>
      <c r="X233" s="17"/>
      <c r="Y233" s="17"/>
    </row>
    <row r="234" spans="2:25" x14ac:dyDescent="0.35">
      <c r="B234" s="6" t="s">
        <v>184</v>
      </c>
      <c r="C234" s="17"/>
      <c r="D234" s="17"/>
      <c r="E234" s="17"/>
      <c r="F234" s="17"/>
      <c r="G234" s="17"/>
      <c r="H234" s="17"/>
      <c r="I234" s="17"/>
      <c r="J234" s="17"/>
      <c r="K234" s="17"/>
      <c r="L234" s="17"/>
      <c r="M234" s="17"/>
      <c r="N234" s="17"/>
      <c r="O234" s="17"/>
      <c r="P234" s="17"/>
      <c r="Q234" s="17"/>
      <c r="R234" s="17"/>
      <c r="S234" s="17"/>
      <c r="T234" s="17"/>
      <c r="U234" s="17"/>
      <c r="V234" s="17"/>
      <c r="W234" s="17"/>
      <c r="X234" s="17"/>
      <c r="Y234" s="17"/>
    </row>
    <row r="235" spans="2:25" x14ac:dyDescent="0.35">
      <c r="B235" s="24" t="s">
        <v>50</v>
      </c>
      <c r="C235" s="17"/>
      <c r="D235" s="17"/>
      <c r="E235" s="17"/>
      <c r="F235" s="17"/>
      <c r="G235" s="17"/>
      <c r="H235" s="17"/>
      <c r="I235" s="17"/>
      <c r="J235" s="17"/>
      <c r="K235" s="17"/>
      <c r="L235" s="17"/>
      <c r="M235" s="17"/>
      <c r="N235" s="17"/>
      <c r="O235" s="17"/>
      <c r="P235" s="17"/>
      <c r="Q235" s="17"/>
      <c r="R235" s="17"/>
      <c r="S235" s="17"/>
      <c r="T235" s="17"/>
      <c r="U235" s="17"/>
      <c r="V235" s="17"/>
      <c r="W235" s="17"/>
      <c r="X235" s="17"/>
      <c r="Y235" s="17"/>
    </row>
    <row r="236" spans="2:25" x14ac:dyDescent="0.35">
      <c r="B236" t="s">
        <v>85</v>
      </c>
      <c r="C236" s="17">
        <v>0.29035913811082498</v>
      </c>
      <c r="D236" s="17">
        <v>0.319986904094748</v>
      </c>
      <c r="E236" s="17">
        <v>0.26254902805832903</v>
      </c>
      <c r="F236" s="17"/>
      <c r="G236" s="17">
        <v>0.36400923745488301</v>
      </c>
      <c r="H236" s="17">
        <v>0.363718379144711</v>
      </c>
      <c r="I236" s="17">
        <v>0.32731699467047798</v>
      </c>
      <c r="J236" s="17">
        <v>0.30512835898172502</v>
      </c>
      <c r="K236" s="17">
        <v>0.25004231557469397</v>
      </c>
      <c r="L236" s="17">
        <v>0.21226099041237501</v>
      </c>
      <c r="M236" s="17"/>
      <c r="N236" s="17">
        <v>0.23153921677612299</v>
      </c>
      <c r="O236" s="17">
        <v>0.175132729915146</v>
      </c>
      <c r="P236" s="17">
        <v>0.28633706470863002</v>
      </c>
      <c r="Q236" s="17">
        <v>0.29634749083872503</v>
      </c>
      <c r="R236" s="17">
        <v>0.230255729474898</v>
      </c>
      <c r="S236" s="17">
        <v>0.39346510747838298</v>
      </c>
      <c r="T236" s="17">
        <v>0.29928487809534099</v>
      </c>
      <c r="U236" s="17">
        <v>0.29113451297649001</v>
      </c>
      <c r="V236" s="17">
        <v>0.24142262026</v>
      </c>
      <c r="W236" s="17"/>
      <c r="X236" s="17">
        <v>0.38933756191722202</v>
      </c>
      <c r="Y236" s="17">
        <v>0.23558779158996199</v>
      </c>
    </row>
    <row r="237" spans="2:25" x14ac:dyDescent="0.35">
      <c r="B237" t="s">
        <v>86</v>
      </c>
      <c r="C237" s="17">
        <v>0.32011752586106701</v>
      </c>
      <c r="D237" s="17">
        <v>0.33899930011944901</v>
      </c>
      <c r="E237" s="17">
        <v>0.30187637123218802</v>
      </c>
      <c r="F237" s="17"/>
      <c r="G237" s="17">
        <v>0.37964716056167402</v>
      </c>
      <c r="H237" s="17">
        <v>0.37021174150534802</v>
      </c>
      <c r="I237" s="17">
        <v>0.34885720379290402</v>
      </c>
      <c r="J237" s="17">
        <v>0.31544424780164598</v>
      </c>
      <c r="K237" s="17">
        <v>0.30370900516551702</v>
      </c>
      <c r="L237" s="17">
        <v>0.26386748507255098</v>
      </c>
      <c r="M237" s="17"/>
      <c r="N237" s="17">
        <v>0.24772447392232499</v>
      </c>
      <c r="O237" s="17">
        <v>0.191338550032817</v>
      </c>
      <c r="P237" s="17">
        <v>0.33130505367134599</v>
      </c>
      <c r="Q237" s="17">
        <v>0.31265680502354698</v>
      </c>
      <c r="R237" s="17">
        <v>0.40738002841929599</v>
      </c>
      <c r="S237" s="17">
        <v>0.29635528318903798</v>
      </c>
      <c r="T237" s="17">
        <v>0.30517237887640902</v>
      </c>
      <c r="U237" s="17">
        <v>0.33820472570668503</v>
      </c>
      <c r="V237" s="17">
        <v>0.24648453603924</v>
      </c>
      <c r="W237" s="17"/>
      <c r="X237" s="17">
        <v>0.33219547043820202</v>
      </c>
      <c r="Y237" s="17">
        <v>0.31343399563039798</v>
      </c>
    </row>
    <row r="238" spans="2:25" x14ac:dyDescent="0.35">
      <c r="B238" t="s">
        <v>181</v>
      </c>
      <c r="C238" s="17">
        <v>0.19575865058908401</v>
      </c>
      <c r="D238" s="17">
        <v>0.18887050597229099</v>
      </c>
      <c r="E238" s="17">
        <v>0.202426461440852</v>
      </c>
      <c r="F238" s="17"/>
      <c r="G238" s="17">
        <v>0.18350366336677601</v>
      </c>
      <c r="H238" s="17">
        <v>0.161110795005665</v>
      </c>
      <c r="I238" s="17">
        <v>0.187158069829122</v>
      </c>
      <c r="J238" s="17">
        <v>0.20920947720049199</v>
      </c>
      <c r="K238" s="17">
        <v>0.203145132014033</v>
      </c>
      <c r="L238" s="17">
        <v>0.212293646641184</v>
      </c>
      <c r="M238" s="17"/>
      <c r="N238" s="17">
        <v>0.204056573479313</v>
      </c>
      <c r="O238" s="17">
        <v>0.20547871452826499</v>
      </c>
      <c r="P238" s="17">
        <v>0.18266997061016199</v>
      </c>
      <c r="Q238" s="17">
        <v>0.220169450522534</v>
      </c>
      <c r="R238" s="17">
        <v>0.20815450552097001</v>
      </c>
      <c r="S238" s="17">
        <v>0.14698779323592401</v>
      </c>
      <c r="T238" s="17">
        <v>0.21477288840261999</v>
      </c>
      <c r="U238" s="17">
        <v>0.19431534312488</v>
      </c>
      <c r="V238" s="17">
        <v>0.20557891769557499</v>
      </c>
      <c r="W238" s="17"/>
      <c r="X238" s="17">
        <v>0.157069499312504</v>
      </c>
      <c r="Y238" s="17">
        <v>0.21716793182104799</v>
      </c>
    </row>
    <row r="239" spans="2:25" x14ac:dyDescent="0.35">
      <c r="B239" t="s">
        <v>88</v>
      </c>
      <c r="C239" s="17">
        <v>7.0714366999908407E-2</v>
      </c>
      <c r="D239" s="17">
        <v>5.8551201636976503E-2</v>
      </c>
      <c r="E239" s="17">
        <v>8.2447735332011399E-2</v>
      </c>
      <c r="F239" s="17"/>
      <c r="G239" s="17">
        <v>4.0660873443191498E-2</v>
      </c>
      <c r="H239" s="17">
        <v>5.14041788200486E-2</v>
      </c>
      <c r="I239" s="17">
        <v>6.1270234523329803E-2</v>
      </c>
      <c r="J239" s="17">
        <v>6.3165831532460998E-2</v>
      </c>
      <c r="K239" s="17">
        <v>8.0646689835088603E-2</v>
      </c>
      <c r="L239" s="17">
        <v>9.8008618733667494E-2</v>
      </c>
      <c r="M239" s="17"/>
      <c r="N239" s="17">
        <v>0.119497191593133</v>
      </c>
      <c r="O239" s="17">
        <v>0.205130213730711</v>
      </c>
      <c r="P239" s="17">
        <v>6.1199765250118998E-2</v>
      </c>
      <c r="Q239" s="17">
        <v>6.09005874050524E-2</v>
      </c>
      <c r="R239" s="17">
        <v>6.4895614168109697E-2</v>
      </c>
      <c r="S239" s="17">
        <v>4.6902608392034903E-2</v>
      </c>
      <c r="T239" s="17">
        <v>7.9631125213118797E-2</v>
      </c>
      <c r="U239" s="17">
        <v>5.2388855792736798E-2</v>
      </c>
      <c r="V239" s="17">
        <v>0.12404177863539601</v>
      </c>
      <c r="W239" s="17"/>
      <c r="X239" s="17">
        <v>5.4094136128400597E-2</v>
      </c>
      <c r="Y239" s="17">
        <v>7.9911446416940701E-2</v>
      </c>
    </row>
    <row r="240" spans="2:25" x14ac:dyDescent="0.35">
      <c r="B240" t="s">
        <v>89</v>
      </c>
      <c r="C240" s="17">
        <v>5.7089317175757999E-2</v>
      </c>
      <c r="D240" s="17">
        <v>4.27035600683663E-2</v>
      </c>
      <c r="E240" s="17">
        <v>7.0578522017041304E-2</v>
      </c>
      <c r="F240" s="17"/>
      <c r="G240" s="17">
        <v>1.7344397413745698E-2</v>
      </c>
      <c r="H240" s="17">
        <v>2.02662057264054E-2</v>
      </c>
      <c r="I240" s="17">
        <v>2.7467308809805E-2</v>
      </c>
      <c r="J240" s="17">
        <v>4.6338581837985601E-2</v>
      </c>
      <c r="K240" s="17">
        <v>8.1776438556303094E-2</v>
      </c>
      <c r="L240" s="17">
        <v>0.103777067473466</v>
      </c>
      <c r="M240" s="17"/>
      <c r="N240" s="17">
        <v>9.1565999625463301E-2</v>
      </c>
      <c r="O240" s="17">
        <v>0.13747542519531</v>
      </c>
      <c r="P240" s="17">
        <v>5.7115534726068E-2</v>
      </c>
      <c r="Q240" s="17">
        <v>5.68182692064748E-2</v>
      </c>
      <c r="R240" s="17">
        <v>3.6717605956963599E-2</v>
      </c>
      <c r="S240" s="17">
        <v>4.72880286294017E-2</v>
      </c>
      <c r="T240" s="17">
        <v>4.9283349022739002E-2</v>
      </c>
      <c r="U240" s="17">
        <v>4.3937258738296701E-2</v>
      </c>
      <c r="V240" s="17">
        <v>0.12722913836140701</v>
      </c>
      <c r="W240" s="17"/>
      <c r="X240" s="17">
        <v>3.1454958088930098E-2</v>
      </c>
      <c r="Y240" s="17">
        <v>7.1274513407324602E-2</v>
      </c>
    </row>
    <row r="241" spans="2:25" x14ac:dyDescent="0.35">
      <c r="B241" t="s">
        <v>69</v>
      </c>
      <c r="C241" s="17">
        <v>6.5961001263356495E-2</v>
      </c>
      <c r="D241" s="17">
        <v>5.0888528108168803E-2</v>
      </c>
      <c r="E241" s="17">
        <v>8.0121881919577406E-2</v>
      </c>
      <c r="F241" s="17"/>
      <c r="G241" s="17">
        <v>1.48346677597291E-2</v>
      </c>
      <c r="H241" s="17">
        <v>3.3288699797821897E-2</v>
      </c>
      <c r="I241" s="17">
        <v>4.79301883743612E-2</v>
      </c>
      <c r="J241" s="17">
        <v>6.0713502645690101E-2</v>
      </c>
      <c r="K241" s="17">
        <v>8.0680418854364694E-2</v>
      </c>
      <c r="L241" s="17">
        <v>0.10979219166675599</v>
      </c>
      <c r="M241" s="17"/>
      <c r="N241" s="17">
        <v>0.105616544603643</v>
      </c>
      <c r="O241" s="17">
        <v>8.5444366597751398E-2</v>
      </c>
      <c r="P241" s="17">
        <v>8.1372611033674505E-2</v>
      </c>
      <c r="Q241" s="17">
        <v>5.31073970036667E-2</v>
      </c>
      <c r="R241" s="17">
        <v>5.2596516459762502E-2</v>
      </c>
      <c r="S241" s="17">
        <v>6.9001179075219202E-2</v>
      </c>
      <c r="T241" s="17">
        <v>5.1855380389772499E-2</v>
      </c>
      <c r="U241" s="17">
        <v>8.0019303660911298E-2</v>
      </c>
      <c r="V241" s="17">
        <v>5.5243009008381097E-2</v>
      </c>
      <c r="W241" s="17"/>
      <c r="X241" s="17">
        <v>3.5848374114741698E-2</v>
      </c>
      <c r="Y241" s="17">
        <v>8.2624321134325801E-2</v>
      </c>
    </row>
    <row r="242" spans="2:25" x14ac:dyDescent="0.35">
      <c r="B242" t="s">
        <v>90</v>
      </c>
      <c r="C242" s="17">
        <v>0.61047666397189304</v>
      </c>
      <c r="D242" s="17">
        <v>0.65898620421419696</v>
      </c>
      <c r="E242" s="17">
        <v>0.56442539929051805</v>
      </c>
      <c r="F242" s="17"/>
      <c r="G242" s="17">
        <v>0.74365639801655703</v>
      </c>
      <c r="H242" s="17">
        <v>0.73393012065005903</v>
      </c>
      <c r="I242" s="17">
        <v>0.676174198463382</v>
      </c>
      <c r="J242" s="17">
        <v>0.620572606783372</v>
      </c>
      <c r="K242" s="17">
        <v>0.55375132074021005</v>
      </c>
      <c r="L242" s="17">
        <v>0.47612847548492598</v>
      </c>
      <c r="M242" s="17"/>
      <c r="N242" s="17">
        <v>0.47926369069844699</v>
      </c>
      <c r="O242" s="17">
        <v>0.36647127994796302</v>
      </c>
      <c r="P242" s="17">
        <v>0.61764211837997596</v>
      </c>
      <c r="Q242" s="17">
        <v>0.609004295862272</v>
      </c>
      <c r="R242" s="17">
        <v>0.63763575789419402</v>
      </c>
      <c r="S242" s="17">
        <v>0.68982039066741996</v>
      </c>
      <c r="T242" s="17">
        <v>0.60445725697175001</v>
      </c>
      <c r="U242" s="17">
        <v>0.62933923868317598</v>
      </c>
      <c r="V242" s="17">
        <v>0.48790715629923997</v>
      </c>
      <c r="W242" s="17"/>
      <c r="X242" s="17">
        <v>0.72153303235542399</v>
      </c>
      <c r="Y242" s="17">
        <v>0.54902178722035999</v>
      </c>
    </row>
    <row r="243" spans="2:25" x14ac:dyDescent="0.35">
      <c r="B243" t="s">
        <v>91</v>
      </c>
      <c r="C243" s="17">
        <v>0.12780368417566601</v>
      </c>
      <c r="D243" s="17">
        <v>0.101254761705343</v>
      </c>
      <c r="E243" s="17">
        <v>0.15302625734905301</v>
      </c>
      <c r="F243" s="17"/>
      <c r="G243" s="17">
        <v>5.8005270856937199E-2</v>
      </c>
      <c r="H243" s="17">
        <v>7.1670384546453997E-2</v>
      </c>
      <c r="I243" s="17">
        <v>8.87375433331348E-2</v>
      </c>
      <c r="J243" s="17">
        <v>0.109504413370447</v>
      </c>
      <c r="K243" s="17">
        <v>0.162423128391392</v>
      </c>
      <c r="L243" s="17">
        <v>0.201785686207133</v>
      </c>
      <c r="M243" s="17"/>
      <c r="N243" s="17">
        <v>0.21106319121859601</v>
      </c>
      <c r="O243" s="17">
        <v>0.34260563892602097</v>
      </c>
      <c r="P243" s="17">
        <v>0.11831529997618701</v>
      </c>
      <c r="Q243" s="17">
        <v>0.11771885661152701</v>
      </c>
      <c r="R243" s="17">
        <v>0.101613220125073</v>
      </c>
      <c r="S243" s="17">
        <v>9.4190637021436693E-2</v>
      </c>
      <c r="T243" s="17">
        <v>0.128914474235858</v>
      </c>
      <c r="U243" s="17">
        <v>9.6326114531033499E-2</v>
      </c>
      <c r="V243" s="17">
        <v>0.25127091699680298</v>
      </c>
      <c r="W243" s="17"/>
      <c r="X243" s="17">
        <v>8.5549094217330604E-2</v>
      </c>
      <c r="Y243" s="17">
        <v>0.151185959824265</v>
      </c>
    </row>
    <row r="244" spans="2:25" x14ac:dyDescent="0.35">
      <c r="B244" t="s">
        <v>92</v>
      </c>
      <c r="C244" s="17">
        <v>0.48267297979622598</v>
      </c>
      <c r="D244" s="17">
        <v>0.55773144250885498</v>
      </c>
      <c r="E244" s="17">
        <v>0.41139914194146499</v>
      </c>
      <c r="F244" s="17"/>
      <c r="G244" s="17">
        <v>0.68565112715961996</v>
      </c>
      <c r="H244" s="17">
        <v>0.662259736103605</v>
      </c>
      <c r="I244" s="17">
        <v>0.58743665513024701</v>
      </c>
      <c r="J244" s="17">
        <v>0.51106819341292498</v>
      </c>
      <c r="K244" s="17">
        <v>0.39132819234881899</v>
      </c>
      <c r="L244" s="17">
        <v>0.27434278927779299</v>
      </c>
      <c r="M244" s="17"/>
      <c r="N244" s="17">
        <v>0.26820049947985097</v>
      </c>
      <c r="O244" s="17">
        <v>2.3865641021941698E-2</v>
      </c>
      <c r="P244" s="17">
        <v>0.49932681840378901</v>
      </c>
      <c r="Q244" s="17">
        <v>0.49128543925074503</v>
      </c>
      <c r="R244" s="17">
        <v>0.53602253776912101</v>
      </c>
      <c r="S244" s="17">
        <v>0.59562975364598403</v>
      </c>
      <c r="T244" s="17">
        <v>0.47554278273589201</v>
      </c>
      <c r="U244" s="17">
        <v>0.53301312415214197</v>
      </c>
      <c r="V244" s="17">
        <v>0.23663623930243699</v>
      </c>
      <c r="W244" s="17"/>
      <c r="X244" s="17">
        <v>0.63598393813809295</v>
      </c>
      <c r="Y244" s="17">
        <v>0.39783582739609502</v>
      </c>
    </row>
    <row r="245" spans="2:25" x14ac:dyDescent="0.35">
      <c r="C245" s="17"/>
      <c r="D245" s="17"/>
      <c r="E245" s="17"/>
      <c r="F245" s="17"/>
      <c r="G245" s="17"/>
      <c r="H245" s="17"/>
      <c r="I245" s="17"/>
      <c r="J245" s="17"/>
      <c r="K245" s="17"/>
      <c r="L245" s="17"/>
      <c r="M245" s="17"/>
      <c r="N245" s="17"/>
      <c r="O245" s="17"/>
      <c r="P245" s="17"/>
      <c r="Q245" s="17"/>
      <c r="R245" s="17"/>
      <c r="S245" s="17"/>
      <c r="T245" s="17"/>
      <c r="U245" s="17"/>
      <c r="V245" s="17"/>
      <c r="W245" s="17"/>
      <c r="X245" s="17"/>
      <c r="Y245" s="17"/>
    </row>
    <row r="246" spans="2:25" x14ac:dyDescent="0.35">
      <c r="B246" s="6" t="s">
        <v>185</v>
      </c>
      <c r="C246" s="17"/>
      <c r="D246" s="17"/>
      <c r="E246" s="17"/>
      <c r="F246" s="17"/>
      <c r="G246" s="17"/>
      <c r="H246" s="17"/>
      <c r="I246" s="17"/>
      <c r="J246" s="17"/>
      <c r="K246" s="17"/>
      <c r="L246" s="17"/>
      <c r="M246" s="17"/>
      <c r="N246" s="17"/>
      <c r="O246" s="17"/>
      <c r="P246" s="17"/>
      <c r="Q246" s="17"/>
      <c r="R246" s="17"/>
      <c r="S246" s="17"/>
      <c r="T246" s="17"/>
      <c r="U246" s="17"/>
      <c r="V246" s="17"/>
      <c r="W246" s="17"/>
      <c r="X246" s="17"/>
      <c r="Y246" s="17"/>
    </row>
    <row r="247" spans="2:25" x14ac:dyDescent="0.35">
      <c r="B247" s="24" t="s">
        <v>50</v>
      </c>
      <c r="C247" s="17"/>
      <c r="D247" s="17"/>
      <c r="E247" s="17"/>
      <c r="F247" s="17"/>
      <c r="G247" s="17"/>
      <c r="H247" s="17"/>
      <c r="I247" s="17"/>
      <c r="J247" s="17"/>
      <c r="K247" s="17"/>
      <c r="L247" s="17"/>
      <c r="M247" s="17"/>
      <c r="N247" s="17"/>
      <c r="O247" s="17"/>
      <c r="P247" s="17"/>
      <c r="Q247" s="17"/>
      <c r="R247" s="17"/>
      <c r="S247" s="17"/>
      <c r="T247" s="17"/>
      <c r="U247" s="17"/>
      <c r="V247" s="17"/>
      <c r="W247" s="17"/>
      <c r="X247" s="17"/>
      <c r="Y247" s="17"/>
    </row>
    <row r="248" spans="2:25" x14ac:dyDescent="0.35">
      <c r="B248" t="s">
        <v>85</v>
      </c>
      <c r="C248" s="17">
        <v>0.73883866730685099</v>
      </c>
      <c r="D248" s="17">
        <v>0.73888494171324304</v>
      </c>
      <c r="E248" s="17">
        <v>0.73896010071430196</v>
      </c>
      <c r="F248" s="17"/>
      <c r="G248" s="17">
        <v>0.72694382856692297</v>
      </c>
      <c r="H248" s="17">
        <v>0.72213662915744603</v>
      </c>
      <c r="I248" s="17">
        <v>0.73924791480928997</v>
      </c>
      <c r="J248" s="17">
        <v>0.750494662238818</v>
      </c>
      <c r="K248" s="17">
        <v>0.76541654380019097</v>
      </c>
      <c r="L248" s="17">
        <v>0.72743094936467001</v>
      </c>
      <c r="M248" s="17"/>
      <c r="N248" s="17">
        <v>0.84929642735278199</v>
      </c>
      <c r="O248" s="17">
        <v>0.89853373834281902</v>
      </c>
      <c r="P248" s="17">
        <v>0.66894380547472299</v>
      </c>
      <c r="Q248" s="17">
        <v>0.81503930614300402</v>
      </c>
      <c r="R248" s="17">
        <v>0.68829650156702105</v>
      </c>
      <c r="S248" s="17">
        <v>0.81292419059294896</v>
      </c>
      <c r="T248" s="17">
        <v>0.78959268182669495</v>
      </c>
      <c r="U248" s="17">
        <v>0.56613669005384804</v>
      </c>
      <c r="V248" s="17">
        <v>0.83263233369371803</v>
      </c>
      <c r="W248" s="17"/>
      <c r="X248" s="17">
        <v>0.77016255698304004</v>
      </c>
      <c r="Y248" s="17">
        <v>0.72150507529904495</v>
      </c>
    </row>
    <row r="249" spans="2:25" x14ac:dyDescent="0.35">
      <c r="B249" t="s">
        <v>86</v>
      </c>
      <c r="C249" s="17">
        <v>0.18880625554293001</v>
      </c>
      <c r="D249" s="17">
        <v>0.185107309986424</v>
      </c>
      <c r="E249" s="17">
        <v>0.19248661483496499</v>
      </c>
      <c r="F249" s="17"/>
      <c r="G249" s="17">
        <v>0.16530126267227799</v>
      </c>
      <c r="H249" s="17">
        <v>0.19932158259323501</v>
      </c>
      <c r="I249" s="17">
        <v>0.181556805930007</v>
      </c>
      <c r="J249" s="17">
        <v>0.17584157028730399</v>
      </c>
      <c r="K249" s="17">
        <v>0.171930908314961</v>
      </c>
      <c r="L249" s="17">
        <v>0.21594591052902801</v>
      </c>
      <c r="M249" s="17"/>
      <c r="N249" s="17">
        <v>9.3397549893925E-2</v>
      </c>
      <c r="O249" s="17">
        <v>8.3000123692235403E-2</v>
      </c>
      <c r="P249" s="17">
        <v>0.24419312429416901</v>
      </c>
      <c r="Q249" s="17">
        <v>0.10830604397324201</v>
      </c>
      <c r="R249" s="17">
        <v>0.248448330825953</v>
      </c>
      <c r="S249" s="17">
        <v>0.138788087958547</v>
      </c>
      <c r="T249" s="17">
        <v>0.16117018916928699</v>
      </c>
      <c r="U249" s="17">
        <v>0.30143356045879799</v>
      </c>
      <c r="V249" s="17">
        <v>0.116788048020509</v>
      </c>
      <c r="W249" s="17"/>
      <c r="X249" s="17">
        <v>0.16559323910503501</v>
      </c>
      <c r="Y249" s="17">
        <v>0.20165156180484201</v>
      </c>
    </row>
    <row r="250" spans="2:25" x14ac:dyDescent="0.35">
      <c r="B250" t="s">
        <v>181</v>
      </c>
      <c r="C250" s="17">
        <v>4.6089893020222102E-2</v>
      </c>
      <c r="D250" s="17">
        <v>5.1162636777070399E-2</v>
      </c>
      <c r="E250" s="17">
        <v>4.1160556974996002E-2</v>
      </c>
      <c r="F250" s="17"/>
      <c r="G250" s="17">
        <v>7.5068130517498194E-2</v>
      </c>
      <c r="H250" s="17">
        <v>5.6852675857785202E-2</v>
      </c>
      <c r="I250" s="17">
        <v>5.4321967140950403E-2</v>
      </c>
      <c r="J250" s="17">
        <v>4.7662632252756701E-2</v>
      </c>
      <c r="K250" s="17">
        <v>3.03293623814711E-2</v>
      </c>
      <c r="L250" s="17">
        <v>3.2953001940291701E-2</v>
      </c>
      <c r="M250" s="17"/>
      <c r="N250" s="17">
        <v>3.4321660125678E-2</v>
      </c>
      <c r="O250" s="17">
        <v>1.00462161265087E-2</v>
      </c>
      <c r="P250" s="17">
        <v>4.5390628473720697E-2</v>
      </c>
      <c r="Q250" s="17">
        <v>4.6630246558877299E-2</v>
      </c>
      <c r="R250" s="17">
        <v>4.2619050809905801E-2</v>
      </c>
      <c r="S250" s="17">
        <v>3.0702985523851901E-2</v>
      </c>
      <c r="T250" s="17">
        <v>3.5889271357300197E-2</v>
      </c>
      <c r="U250" s="17">
        <v>8.7179397263702094E-2</v>
      </c>
      <c r="V250" s="17">
        <v>4.0325662151006997E-2</v>
      </c>
      <c r="W250" s="17"/>
      <c r="X250" s="17">
        <v>4.5789473045753502E-2</v>
      </c>
      <c r="Y250" s="17">
        <v>4.6256135377804902E-2</v>
      </c>
    </row>
    <row r="251" spans="2:25" x14ac:dyDescent="0.35">
      <c r="B251" t="s">
        <v>88</v>
      </c>
      <c r="C251" s="17">
        <v>1.07934855906778E-2</v>
      </c>
      <c r="D251" s="17">
        <v>1.0146825105007799E-2</v>
      </c>
      <c r="E251" s="17">
        <v>1.14454413258253E-2</v>
      </c>
      <c r="F251" s="17"/>
      <c r="G251" s="17">
        <v>2.3911104048428E-2</v>
      </c>
      <c r="H251" s="17">
        <v>9.5258932847535494E-3</v>
      </c>
      <c r="I251" s="17">
        <v>1.3889698865865399E-2</v>
      </c>
      <c r="J251" s="17">
        <v>7.6916605134424798E-3</v>
      </c>
      <c r="K251" s="17">
        <v>1.0913524016763499E-2</v>
      </c>
      <c r="L251" s="17">
        <v>6.7167453458624599E-3</v>
      </c>
      <c r="M251" s="17"/>
      <c r="N251" s="17">
        <v>9.6311431829381906E-3</v>
      </c>
      <c r="O251" s="17">
        <v>0</v>
      </c>
      <c r="P251" s="17">
        <v>1.03204086915933E-2</v>
      </c>
      <c r="Q251" s="17">
        <v>1.45533651368669E-2</v>
      </c>
      <c r="R251" s="17">
        <v>1.0672631219365399E-2</v>
      </c>
      <c r="S251" s="17">
        <v>9.8088988886557097E-3</v>
      </c>
      <c r="T251" s="17">
        <v>6.5228967179951601E-3</v>
      </c>
      <c r="U251" s="17">
        <v>1.9625674197245702E-2</v>
      </c>
      <c r="V251" s="17">
        <v>0</v>
      </c>
      <c r="W251" s="17"/>
      <c r="X251" s="17">
        <v>8.4027383716622807E-3</v>
      </c>
      <c r="Y251" s="17">
        <v>1.2116445073570899E-2</v>
      </c>
    </row>
    <row r="252" spans="2:25" x14ac:dyDescent="0.35">
      <c r="B252" t="s">
        <v>89</v>
      </c>
      <c r="C252" s="17">
        <v>5.71419983577451E-3</v>
      </c>
      <c r="D252" s="17">
        <v>5.4414414910017202E-3</v>
      </c>
      <c r="E252" s="17">
        <v>5.9938395644802004E-3</v>
      </c>
      <c r="F252" s="17"/>
      <c r="G252" s="17">
        <v>1.6356530219829499E-3</v>
      </c>
      <c r="H252" s="17">
        <v>1.00594276517573E-3</v>
      </c>
      <c r="I252" s="17">
        <v>1.99820472044107E-3</v>
      </c>
      <c r="J252" s="17">
        <v>7.9640646733109294E-3</v>
      </c>
      <c r="K252" s="17">
        <v>9.8072021001007099E-3</v>
      </c>
      <c r="L252" s="17">
        <v>8.1713339943253992E-3</v>
      </c>
      <c r="M252" s="17"/>
      <c r="N252" s="17">
        <v>4.5171036054066898E-3</v>
      </c>
      <c r="O252" s="17">
        <v>0</v>
      </c>
      <c r="P252" s="17">
        <v>1.01333740323455E-2</v>
      </c>
      <c r="Q252" s="17">
        <v>6.2607289452101802E-3</v>
      </c>
      <c r="R252" s="17">
        <v>2.6827238952203099E-3</v>
      </c>
      <c r="S252" s="17">
        <v>1.0665559708922E-3</v>
      </c>
      <c r="T252" s="17">
        <v>4.5976590194961604E-3</v>
      </c>
      <c r="U252" s="17">
        <v>1.2344520160292499E-2</v>
      </c>
      <c r="V252" s="17">
        <v>2.2152699479869899E-3</v>
      </c>
      <c r="W252" s="17"/>
      <c r="X252" s="17">
        <v>3.9577046289875099E-3</v>
      </c>
      <c r="Y252" s="17">
        <v>6.6861854861153102E-3</v>
      </c>
    </row>
    <row r="253" spans="2:25" x14ac:dyDescent="0.35">
      <c r="B253" t="s">
        <v>69</v>
      </c>
      <c r="C253" s="17">
        <v>9.7574987035440406E-3</v>
      </c>
      <c r="D253" s="17">
        <v>9.2568449272532796E-3</v>
      </c>
      <c r="E253" s="17">
        <v>9.9534465854311405E-3</v>
      </c>
      <c r="F253" s="17"/>
      <c r="G253" s="17">
        <v>7.1400211728897501E-3</v>
      </c>
      <c r="H253" s="17">
        <v>1.1157276341604801E-2</v>
      </c>
      <c r="I253" s="17">
        <v>8.9854085334468894E-3</v>
      </c>
      <c r="J253" s="17">
        <v>1.03454100343673E-2</v>
      </c>
      <c r="K253" s="17">
        <v>1.16024593865123E-2</v>
      </c>
      <c r="L253" s="17">
        <v>8.7820588258223104E-3</v>
      </c>
      <c r="M253" s="17"/>
      <c r="N253" s="17">
        <v>8.8361158392699299E-3</v>
      </c>
      <c r="O253" s="17">
        <v>8.4199218384367405E-3</v>
      </c>
      <c r="P253" s="17">
        <v>2.10186590334481E-2</v>
      </c>
      <c r="Q253" s="17">
        <v>9.2103092427995199E-3</v>
      </c>
      <c r="R253" s="17">
        <v>7.2807616825344302E-3</v>
      </c>
      <c r="S253" s="17">
        <v>6.7092810651045E-3</v>
      </c>
      <c r="T253" s="17">
        <v>2.2273019092271199E-3</v>
      </c>
      <c r="U253" s="17">
        <v>1.3280157866113701E-2</v>
      </c>
      <c r="V253" s="17">
        <v>8.0386861867788803E-3</v>
      </c>
      <c r="W253" s="17"/>
      <c r="X253" s="17">
        <v>6.0942878655217197E-3</v>
      </c>
      <c r="Y253" s="17">
        <v>1.17845969586219E-2</v>
      </c>
    </row>
    <row r="254" spans="2:25" x14ac:dyDescent="0.35">
      <c r="B254" t="s">
        <v>90</v>
      </c>
      <c r="C254" s="17">
        <v>0.92764492284978195</v>
      </c>
      <c r="D254" s="17">
        <v>0.92399225169966703</v>
      </c>
      <c r="E254" s="17">
        <v>0.93144671554926695</v>
      </c>
      <c r="F254" s="17"/>
      <c r="G254" s="17">
        <v>0.89224509123920104</v>
      </c>
      <c r="H254" s="17">
        <v>0.92145821175068099</v>
      </c>
      <c r="I254" s="17">
        <v>0.92080472073929598</v>
      </c>
      <c r="J254" s="17">
        <v>0.92633623252612296</v>
      </c>
      <c r="K254" s="17">
        <v>0.93734745211515202</v>
      </c>
      <c r="L254" s="17">
        <v>0.94337685989369802</v>
      </c>
      <c r="M254" s="17"/>
      <c r="N254" s="17">
        <v>0.942693977246707</v>
      </c>
      <c r="O254" s="17">
        <v>0.98153386203505499</v>
      </c>
      <c r="P254" s="17">
        <v>0.91313692976889205</v>
      </c>
      <c r="Q254" s="17">
        <v>0.92334535011624597</v>
      </c>
      <c r="R254" s="17">
        <v>0.93674483239297401</v>
      </c>
      <c r="S254" s="17">
        <v>0.95171227855149598</v>
      </c>
      <c r="T254" s="17">
        <v>0.950762870995981</v>
      </c>
      <c r="U254" s="17">
        <v>0.86757025051264602</v>
      </c>
      <c r="V254" s="17">
        <v>0.94942038171422705</v>
      </c>
      <c r="W254" s="17"/>
      <c r="X254" s="17">
        <v>0.93575579608807502</v>
      </c>
      <c r="Y254" s="17">
        <v>0.92315663710388696</v>
      </c>
    </row>
    <row r="255" spans="2:25" x14ac:dyDescent="0.35">
      <c r="B255" t="s">
        <v>91</v>
      </c>
      <c r="C255" s="17">
        <v>1.6507685426452302E-2</v>
      </c>
      <c r="D255" s="17">
        <v>1.5588266596009599E-2</v>
      </c>
      <c r="E255" s="17">
        <v>1.7439280890305501E-2</v>
      </c>
      <c r="F255" s="17"/>
      <c r="G255" s="17">
        <v>2.5546757070410899E-2</v>
      </c>
      <c r="H255" s="17">
        <v>1.05318360499293E-2</v>
      </c>
      <c r="I255" s="17">
        <v>1.5887903586306401E-2</v>
      </c>
      <c r="J255" s="17">
        <v>1.56557251867534E-2</v>
      </c>
      <c r="K255" s="17">
        <v>2.0720726116864201E-2</v>
      </c>
      <c r="L255" s="17">
        <v>1.4888079340187901E-2</v>
      </c>
      <c r="M255" s="17"/>
      <c r="N255" s="17">
        <v>1.41482467883449E-2</v>
      </c>
      <c r="O255" s="17">
        <v>0</v>
      </c>
      <c r="P255" s="17">
        <v>2.0453782723938801E-2</v>
      </c>
      <c r="Q255" s="17">
        <v>2.08140940820771E-2</v>
      </c>
      <c r="R255" s="17">
        <v>1.33553551145857E-2</v>
      </c>
      <c r="S255" s="17">
        <v>1.08754548595479E-2</v>
      </c>
      <c r="T255" s="17">
        <v>1.11205557374913E-2</v>
      </c>
      <c r="U255" s="17">
        <v>3.1970194357538201E-2</v>
      </c>
      <c r="V255" s="17">
        <v>2.2152699479869899E-3</v>
      </c>
      <c r="W255" s="17"/>
      <c r="X255" s="17">
        <v>1.23604430006498E-2</v>
      </c>
      <c r="Y255" s="17">
        <v>1.8802630559686201E-2</v>
      </c>
    </row>
    <row r="256" spans="2:25" x14ac:dyDescent="0.35">
      <c r="B256" t="s">
        <v>92</v>
      </c>
      <c r="C256" s="17">
        <v>0.91113723742332897</v>
      </c>
      <c r="D256" s="17">
        <v>0.90840398510365705</v>
      </c>
      <c r="E256" s="17">
        <v>0.91400743465896195</v>
      </c>
      <c r="F256" s="17"/>
      <c r="G256" s="17">
        <v>0.86669833416879005</v>
      </c>
      <c r="H256" s="17">
        <v>0.91092637570075097</v>
      </c>
      <c r="I256" s="17">
        <v>0.90491681715298999</v>
      </c>
      <c r="J256" s="17">
        <v>0.91068050733936901</v>
      </c>
      <c r="K256" s="17">
        <v>0.91662672599828798</v>
      </c>
      <c r="L256" s="17">
        <v>0.92848878055351003</v>
      </c>
      <c r="M256" s="17"/>
      <c r="N256" s="17">
        <v>0.92854573045836197</v>
      </c>
      <c r="O256" s="17">
        <v>0.98153386203505499</v>
      </c>
      <c r="P256" s="17">
        <v>0.892683147044954</v>
      </c>
      <c r="Q256" s="17">
        <v>0.90253125603416895</v>
      </c>
      <c r="R256" s="17">
        <v>0.92338947727838805</v>
      </c>
      <c r="S256" s="17">
        <v>0.94083682369194799</v>
      </c>
      <c r="T256" s="17">
        <v>0.93964231525848996</v>
      </c>
      <c r="U256" s="17">
        <v>0.83560005615510802</v>
      </c>
      <c r="V256" s="17">
        <v>0.94720511176624</v>
      </c>
      <c r="W256" s="17"/>
      <c r="X256" s="17">
        <v>0.92339535308742504</v>
      </c>
      <c r="Y256" s="17">
        <v>0.90435400654420095</v>
      </c>
    </row>
    <row r="257" spans="2:25" x14ac:dyDescent="0.35">
      <c r="C257" s="17"/>
      <c r="D257" s="17"/>
      <c r="E257" s="17"/>
      <c r="F257" s="17"/>
      <c r="G257" s="17"/>
      <c r="H257" s="17"/>
      <c r="I257" s="17"/>
      <c r="J257" s="17"/>
      <c r="K257" s="17"/>
      <c r="L257" s="17"/>
      <c r="M257" s="17"/>
      <c r="N257" s="17"/>
      <c r="O257" s="17"/>
      <c r="P257" s="17"/>
      <c r="Q257" s="17"/>
      <c r="R257" s="17"/>
      <c r="S257" s="17"/>
      <c r="T257" s="17"/>
      <c r="U257" s="17"/>
      <c r="V257" s="17"/>
      <c r="W257" s="17"/>
      <c r="X257" s="17"/>
      <c r="Y257" s="17"/>
    </row>
    <row r="258" spans="2:25" x14ac:dyDescent="0.35">
      <c r="B258" s="6" t="s">
        <v>186</v>
      </c>
      <c r="C258" s="17"/>
      <c r="D258" s="17"/>
      <c r="E258" s="17"/>
      <c r="F258" s="17"/>
      <c r="G258" s="17"/>
      <c r="H258" s="17"/>
      <c r="I258" s="17"/>
      <c r="J258" s="17"/>
      <c r="K258" s="17"/>
      <c r="L258" s="17"/>
      <c r="M258" s="17"/>
      <c r="N258" s="17"/>
      <c r="O258" s="17"/>
      <c r="P258" s="17"/>
      <c r="Q258" s="17"/>
      <c r="R258" s="17"/>
      <c r="S258" s="17"/>
      <c r="T258" s="17"/>
      <c r="U258" s="17"/>
      <c r="V258" s="17"/>
      <c r="W258" s="17"/>
      <c r="X258" s="17"/>
      <c r="Y258" s="17"/>
    </row>
    <row r="259" spans="2:25" x14ac:dyDescent="0.35">
      <c r="B259" s="24" t="s">
        <v>50</v>
      </c>
      <c r="C259" s="17"/>
      <c r="D259" s="17"/>
      <c r="E259" s="17"/>
      <c r="F259" s="17"/>
      <c r="G259" s="17"/>
      <c r="H259" s="17"/>
      <c r="I259" s="17"/>
      <c r="J259" s="17"/>
      <c r="K259" s="17"/>
      <c r="L259" s="17"/>
      <c r="M259" s="17"/>
      <c r="N259" s="17"/>
      <c r="O259" s="17"/>
      <c r="P259" s="17"/>
      <c r="Q259" s="17"/>
      <c r="R259" s="17"/>
      <c r="S259" s="17"/>
      <c r="T259" s="17"/>
      <c r="U259" s="17"/>
      <c r="V259" s="17"/>
      <c r="W259" s="17"/>
      <c r="X259" s="17"/>
      <c r="Y259" s="17"/>
    </row>
    <row r="260" spans="2:25" x14ac:dyDescent="0.35">
      <c r="B260" t="s">
        <v>85</v>
      </c>
      <c r="C260" s="17">
        <v>0.42498700034127201</v>
      </c>
      <c r="D260" s="17">
        <v>0.46223986989118199</v>
      </c>
      <c r="E260" s="17">
        <v>0.38941130534200902</v>
      </c>
      <c r="F260" s="17"/>
      <c r="G260" s="17">
        <v>0.54809335366872802</v>
      </c>
      <c r="H260" s="17">
        <v>0.54052287333111004</v>
      </c>
      <c r="I260" s="17">
        <v>0.45566541254920101</v>
      </c>
      <c r="J260" s="17">
        <v>0.44406790961453002</v>
      </c>
      <c r="K260" s="17">
        <v>0.389269470930519</v>
      </c>
      <c r="L260" s="17">
        <v>0.301570170327772</v>
      </c>
      <c r="M260" s="17"/>
      <c r="N260" s="17">
        <v>0.50621488201865505</v>
      </c>
      <c r="O260" s="17">
        <v>0.45380403567591099</v>
      </c>
      <c r="P260" s="17">
        <v>0.38949280635757499</v>
      </c>
      <c r="Q260" s="17">
        <v>0.455137356970434</v>
      </c>
      <c r="R260" s="17">
        <v>0.409391451640852</v>
      </c>
      <c r="S260" s="17">
        <v>0.50226513318975896</v>
      </c>
      <c r="T260" s="17">
        <v>0.49827871469352902</v>
      </c>
      <c r="U260" s="17">
        <v>0.27070550424172601</v>
      </c>
      <c r="V260" s="17">
        <v>0.43067132248990497</v>
      </c>
      <c r="W260" s="17"/>
      <c r="X260" s="17">
        <v>0.50067321258458197</v>
      </c>
      <c r="Y260" s="17">
        <v>0.38310478401361597</v>
      </c>
    </row>
    <row r="261" spans="2:25" x14ac:dyDescent="0.35">
      <c r="B261" t="s">
        <v>86</v>
      </c>
      <c r="C261" s="17">
        <v>0.29211100978658</v>
      </c>
      <c r="D261" s="17">
        <v>0.27748439431953298</v>
      </c>
      <c r="E261" s="17">
        <v>0.30621614008235798</v>
      </c>
      <c r="F261" s="17"/>
      <c r="G261" s="17">
        <v>0.31232009288680901</v>
      </c>
      <c r="H261" s="17">
        <v>0.28074166680996598</v>
      </c>
      <c r="I261" s="17">
        <v>0.32690886716317202</v>
      </c>
      <c r="J261" s="17">
        <v>0.30445092414956498</v>
      </c>
      <c r="K261" s="17">
        <v>0.27717590623141197</v>
      </c>
      <c r="L261" s="17">
        <v>0.27039767388813502</v>
      </c>
      <c r="M261" s="17"/>
      <c r="N261" s="17">
        <v>0.25789453589900502</v>
      </c>
      <c r="O261" s="17">
        <v>0.28897502014294901</v>
      </c>
      <c r="P261" s="17">
        <v>0.29936940750705998</v>
      </c>
      <c r="Q261" s="17">
        <v>0.247089715142881</v>
      </c>
      <c r="R261" s="17">
        <v>0.36437682769839702</v>
      </c>
      <c r="S261" s="17">
        <v>0.24156577980076099</v>
      </c>
      <c r="T261" s="17">
        <v>0.28660736121197999</v>
      </c>
      <c r="U261" s="17">
        <v>0.32903522564827797</v>
      </c>
      <c r="V261" s="17">
        <v>0.27270412065251798</v>
      </c>
      <c r="W261" s="17"/>
      <c r="X261" s="17">
        <v>0.290945564993982</v>
      </c>
      <c r="Y261" s="17">
        <v>0.29275592792258898</v>
      </c>
    </row>
    <row r="262" spans="2:25" x14ac:dyDescent="0.35">
      <c r="B262" t="s">
        <v>181</v>
      </c>
      <c r="C262" s="17">
        <v>0.13614139293229199</v>
      </c>
      <c r="D262" s="17">
        <v>0.14137995834391101</v>
      </c>
      <c r="E262" s="17">
        <v>0.131107162209084</v>
      </c>
      <c r="F262" s="17"/>
      <c r="G262" s="17">
        <v>9.7237558483826897E-2</v>
      </c>
      <c r="H262" s="17">
        <v>0.109676892450762</v>
      </c>
      <c r="I262" s="17">
        <v>0.13063871753168799</v>
      </c>
      <c r="J262" s="17">
        <v>0.138019773908723</v>
      </c>
      <c r="K262" s="17">
        <v>0.146933860816925</v>
      </c>
      <c r="L262" s="17">
        <v>0.16142821960708401</v>
      </c>
      <c r="M262" s="17"/>
      <c r="N262" s="17">
        <v>0.10860469875789799</v>
      </c>
      <c r="O262" s="17">
        <v>0.10367762950662</v>
      </c>
      <c r="P262" s="17">
        <v>0.134832684259656</v>
      </c>
      <c r="Q262" s="17">
        <v>0.152569439505544</v>
      </c>
      <c r="R262" s="17">
        <v>0.12935957031216899</v>
      </c>
      <c r="S262" s="17">
        <v>0.104155861334771</v>
      </c>
      <c r="T262" s="17">
        <v>0.116383710654184</v>
      </c>
      <c r="U262" s="17">
        <v>0.19281605746786601</v>
      </c>
      <c r="V262" s="17">
        <v>0.133412752123166</v>
      </c>
      <c r="W262" s="17"/>
      <c r="X262" s="17">
        <v>0.108528249575238</v>
      </c>
      <c r="Y262" s="17">
        <v>0.151421582140981</v>
      </c>
    </row>
    <row r="263" spans="2:25" x14ac:dyDescent="0.35">
      <c r="B263" t="s">
        <v>88</v>
      </c>
      <c r="C263" s="17">
        <v>6.2236125446208802E-2</v>
      </c>
      <c r="D263" s="17">
        <v>5.5424001601426999E-2</v>
      </c>
      <c r="E263" s="17">
        <v>6.8898095185675204E-2</v>
      </c>
      <c r="F263" s="17"/>
      <c r="G263" s="17">
        <v>3.1191715584572101E-2</v>
      </c>
      <c r="H263" s="17">
        <v>4.0617561353023503E-2</v>
      </c>
      <c r="I263" s="17">
        <v>5.0564973557404899E-2</v>
      </c>
      <c r="J263" s="17">
        <v>4.6797579251999802E-2</v>
      </c>
      <c r="K263" s="17">
        <v>7.3754632366887105E-2</v>
      </c>
      <c r="L263" s="17">
        <v>9.7041768526223093E-2</v>
      </c>
      <c r="M263" s="17"/>
      <c r="N263" s="17">
        <v>3.4314637845934297E-2</v>
      </c>
      <c r="O263" s="17">
        <v>8.0948225314603703E-2</v>
      </c>
      <c r="P263" s="17">
        <v>5.5958611575428398E-2</v>
      </c>
      <c r="Q263" s="17">
        <v>4.3124462645757103E-2</v>
      </c>
      <c r="R263" s="17">
        <v>4.3795347728573103E-2</v>
      </c>
      <c r="S263" s="17">
        <v>5.9401850523499E-2</v>
      </c>
      <c r="T263" s="17">
        <v>5.4865183200530999E-2</v>
      </c>
      <c r="U263" s="17">
        <v>0.10559898820126901</v>
      </c>
      <c r="V263" s="17">
        <v>9.3301724586232607E-2</v>
      </c>
      <c r="W263" s="17"/>
      <c r="X263" s="17">
        <v>5.1282695220010097E-2</v>
      </c>
      <c r="Y263" s="17">
        <v>6.8297387077175004E-2</v>
      </c>
    </row>
    <row r="264" spans="2:25" x14ac:dyDescent="0.35">
      <c r="B264" t="s">
        <v>89</v>
      </c>
      <c r="C264" s="17">
        <v>4.1543660914047299E-2</v>
      </c>
      <c r="D264" s="17">
        <v>3.15868617529853E-2</v>
      </c>
      <c r="E264" s="17">
        <v>5.10832308145754E-2</v>
      </c>
      <c r="F264" s="17"/>
      <c r="G264" s="17">
        <v>5.8464708151595799E-3</v>
      </c>
      <c r="H264" s="17">
        <v>1.4234494365252899E-2</v>
      </c>
      <c r="I264" s="17">
        <v>1.6365954532771301E-2</v>
      </c>
      <c r="J264" s="17">
        <v>2.9828832851766698E-2</v>
      </c>
      <c r="K264" s="17">
        <v>5.1458824727169901E-2</v>
      </c>
      <c r="L264" s="17">
        <v>8.8624140709534699E-2</v>
      </c>
      <c r="M264" s="17"/>
      <c r="N264" s="17">
        <v>3.9078224073742902E-2</v>
      </c>
      <c r="O264" s="17">
        <v>4.0474858854991101E-2</v>
      </c>
      <c r="P264" s="17">
        <v>6.1172834925257699E-2</v>
      </c>
      <c r="Q264" s="17">
        <v>5.54577282874869E-2</v>
      </c>
      <c r="R264" s="17">
        <v>1.52698849347815E-2</v>
      </c>
      <c r="S264" s="17">
        <v>4.89109097174222E-2</v>
      </c>
      <c r="T264" s="17">
        <v>2.02831357131638E-2</v>
      </c>
      <c r="U264" s="17">
        <v>4.7144866185640899E-2</v>
      </c>
      <c r="V264" s="17">
        <v>4.61341917103536E-2</v>
      </c>
      <c r="W264" s="17"/>
      <c r="X264" s="17">
        <v>2.5785621507588001E-2</v>
      </c>
      <c r="Y264" s="17">
        <v>5.0263632435404597E-2</v>
      </c>
    </row>
    <row r="265" spans="2:25" x14ac:dyDescent="0.35">
      <c r="B265" t="s">
        <v>69</v>
      </c>
      <c r="C265" s="17">
        <v>4.29808105795993E-2</v>
      </c>
      <c r="D265" s="17">
        <v>3.18849140909616E-2</v>
      </c>
      <c r="E265" s="17">
        <v>5.3284066366298899E-2</v>
      </c>
      <c r="F265" s="17"/>
      <c r="G265" s="17">
        <v>5.3108085609044004E-3</v>
      </c>
      <c r="H265" s="17">
        <v>1.4206511689885201E-2</v>
      </c>
      <c r="I265" s="17">
        <v>1.9856074665761898E-2</v>
      </c>
      <c r="J265" s="17">
        <v>3.6834980223416199E-2</v>
      </c>
      <c r="K265" s="17">
        <v>6.1407304927086598E-2</v>
      </c>
      <c r="L265" s="17">
        <v>8.0938026941250296E-2</v>
      </c>
      <c r="M265" s="17"/>
      <c r="N265" s="17">
        <v>5.3893021404764499E-2</v>
      </c>
      <c r="O265" s="17">
        <v>3.2120230504924997E-2</v>
      </c>
      <c r="P265" s="17">
        <v>5.9173655375023101E-2</v>
      </c>
      <c r="Q265" s="17">
        <v>4.6621297447896899E-2</v>
      </c>
      <c r="R265" s="17">
        <v>3.78069176852271E-2</v>
      </c>
      <c r="S265" s="17">
        <v>4.3700465433787798E-2</v>
      </c>
      <c r="T265" s="17">
        <v>2.3581894526611399E-2</v>
      </c>
      <c r="U265" s="17">
        <v>5.46993582552186E-2</v>
      </c>
      <c r="V265" s="17">
        <v>2.3775888437824699E-2</v>
      </c>
      <c r="W265" s="17"/>
      <c r="X265" s="17">
        <v>2.2784656118600002E-2</v>
      </c>
      <c r="Y265" s="17">
        <v>5.4156686410234502E-2</v>
      </c>
    </row>
    <row r="266" spans="2:25" x14ac:dyDescent="0.35">
      <c r="B266" t="s">
        <v>90</v>
      </c>
      <c r="C266" s="17">
        <v>0.71709801012785201</v>
      </c>
      <c r="D266" s="17">
        <v>0.73972426421071502</v>
      </c>
      <c r="E266" s="17">
        <v>0.69562744542436605</v>
      </c>
      <c r="F266" s="17"/>
      <c r="G266" s="17">
        <v>0.86041344655553698</v>
      </c>
      <c r="H266" s="17">
        <v>0.82126454014107697</v>
      </c>
      <c r="I266" s="17">
        <v>0.78257427971237403</v>
      </c>
      <c r="J266" s="17">
        <v>0.748518833764094</v>
      </c>
      <c r="K266" s="17">
        <v>0.66644537716193097</v>
      </c>
      <c r="L266" s="17">
        <v>0.57196784421590796</v>
      </c>
      <c r="M266" s="17"/>
      <c r="N266" s="17">
        <v>0.76410941791765996</v>
      </c>
      <c r="O266" s="17">
        <v>0.74277905581885995</v>
      </c>
      <c r="P266" s="17">
        <v>0.68886221386463498</v>
      </c>
      <c r="Q266" s="17">
        <v>0.70222707211331503</v>
      </c>
      <c r="R266" s="17">
        <v>0.77376827933924996</v>
      </c>
      <c r="S266" s="17">
        <v>0.74383091299051995</v>
      </c>
      <c r="T266" s="17">
        <v>0.78488607590550996</v>
      </c>
      <c r="U266" s="17">
        <v>0.59974072989000504</v>
      </c>
      <c r="V266" s="17">
        <v>0.70337544314242295</v>
      </c>
      <c r="W266" s="17"/>
      <c r="X266" s="17">
        <v>0.79161877757856403</v>
      </c>
      <c r="Y266" s="17">
        <v>0.67586071193620501</v>
      </c>
    </row>
    <row r="267" spans="2:25" x14ac:dyDescent="0.35">
      <c r="B267" t="s">
        <v>91</v>
      </c>
      <c r="C267" s="17">
        <v>0.103779786360256</v>
      </c>
      <c r="D267" s="17">
        <v>8.7010863354412299E-2</v>
      </c>
      <c r="E267" s="17">
        <v>0.11998132600025101</v>
      </c>
      <c r="F267" s="17"/>
      <c r="G267" s="17">
        <v>3.70381863997317E-2</v>
      </c>
      <c r="H267" s="17">
        <v>5.48520557182764E-2</v>
      </c>
      <c r="I267" s="17">
        <v>6.69309280901762E-2</v>
      </c>
      <c r="J267" s="17">
        <v>7.66264121037665E-2</v>
      </c>
      <c r="K267" s="17">
        <v>0.12521345709405701</v>
      </c>
      <c r="L267" s="17">
        <v>0.18566590923575799</v>
      </c>
      <c r="M267" s="17"/>
      <c r="N267" s="17">
        <v>7.3392861919677199E-2</v>
      </c>
      <c r="O267" s="17">
        <v>0.12142308416959501</v>
      </c>
      <c r="P267" s="17">
        <v>0.11713144650068601</v>
      </c>
      <c r="Q267" s="17">
        <v>9.8582190933243996E-2</v>
      </c>
      <c r="R267" s="17">
        <v>5.9065232663354603E-2</v>
      </c>
      <c r="S267" s="17">
        <v>0.108312760240921</v>
      </c>
      <c r="T267" s="17">
        <v>7.5148318913694903E-2</v>
      </c>
      <c r="U267" s="17">
        <v>0.15274385438690999</v>
      </c>
      <c r="V267" s="17">
        <v>0.139435916296586</v>
      </c>
      <c r="W267" s="17"/>
      <c r="X267" s="17">
        <v>7.7068316727598105E-2</v>
      </c>
      <c r="Y267" s="17">
        <v>0.11856101951258</v>
      </c>
    </row>
    <row r="268" spans="2:25" x14ac:dyDescent="0.35">
      <c r="B268" t="s">
        <v>92</v>
      </c>
      <c r="C268" s="17">
        <v>0.61331822376759604</v>
      </c>
      <c r="D268" s="17">
        <v>0.65271340085630203</v>
      </c>
      <c r="E268" s="17">
        <v>0.57564611942411503</v>
      </c>
      <c r="F268" s="17"/>
      <c r="G268" s="17">
        <v>0.82337526015580498</v>
      </c>
      <c r="H268" s="17">
        <v>0.76641248442279997</v>
      </c>
      <c r="I268" s="17">
        <v>0.71564335162219705</v>
      </c>
      <c r="J268" s="17">
        <v>0.67189242166032803</v>
      </c>
      <c r="K268" s="17">
        <v>0.54123192006787402</v>
      </c>
      <c r="L268" s="17">
        <v>0.38630193498014997</v>
      </c>
      <c r="M268" s="17"/>
      <c r="N268" s="17">
        <v>0.69071655599798298</v>
      </c>
      <c r="O268" s="17">
        <v>0.62135597164926504</v>
      </c>
      <c r="P268" s="17">
        <v>0.57173076736394901</v>
      </c>
      <c r="Q268" s="17">
        <v>0.60364488118007098</v>
      </c>
      <c r="R268" s="17">
        <v>0.71470304667589502</v>
      </c>
      <c r="S268" s="17">
        <v>0.635518152749599</v>
      </c>
      <c r="T268" s="17">
        <v>0.70973775699181496</v>
      </c>
      <c r="U268" s="17">
        <v>0.44699687550309503</v>
      </c>
      <c r="V268" s="17">
        <v>0.56393952684583704</v>
      </c>
      <c r="W268" s="17"/>
      <c r="X268" s="17">
        <v>0.71455046085096596</v>
      </c>
      <c r="Y268" s="17">
        <v>0.55729969242362498</v>
      </c>
    </row>
    <row r="269" spans="2:25" x14ac:dyDescent="0.35">
      <c r="C269" s="17"/>
      <c r="D269" s="17"/>
      <c r="E269" s="17"/>
      <c r="F269" s="17"/>
      <c r="G269" s="17"/>
      <c r="H269" s="17"/>
      <c r="I269" s="17"/>
      <c r="J269" s="17"/>
      <c r="K269" s="17"/>
      <c r="L269" s="17"/>
      <c r="M269" s="17"/>
      <c r="N269" s="17"/>
      <c r="O269" s="17"/>
      <c r="P269" s="17"/>
      <c r="Q269" s="17"/>
      <c r="R269" s="17"/>
      <c r="S269" s="17"/>
      <c r="T269" s="17"/>
      <c r="U269" s="17"/>
      <c r="V269" s="17"/>
      <c r="W269" s="17"/>
      <c r="X269" s="17"/>
      <c r="Y269" s="17"/>
    </row>
    <row r="270" spans="2:25" x14ac:dyDescent="0.35">
      <c r="B270" s="6" t="s">
        <v>187</v>
      </c>
      <c r="C270" s="17"/>
      <c r="D270" s="17"/>
      <c r="E270" s="17"/>
      <c r="F270" s="17"/>
      <c r="G270" s="17"/>
      <c r="H270" s="17"/>
      <c r="I270" s="17"/>
      <c r="J270" s="17"/>
      <c r="K270" s="17"/>
      <c r="L270" s="17"/>
      <c r="M270" s="17"/>
      <c r="N270" s="17"/>
      <c r="O270" s="17"/>
      <c r="P270" s="17"/>
      <c r="Q270" s="17"/>
      <c r="R270" s="17"/>
      <c r="S270" s="17"/>
      <c r="T270" s="17"/>
      <c r="U270" s="17"/>
      <c r="V270" s="17"/>
      <c r="W270" s="17"/>
      <c r="X270" s="17"/>
      <c r="Y270" s="17"/>
    </row>
    <row r="271" spans="2:25" x14ac:dyDescent="0.35">
      <c r="B271" s="24" t="s">
        <v>50</v>
      </c>
      <c r="C271" s="17"/>
      <c r="D271" s="17"/>
      <c r="E271" s="17"/>
      <c r="F271" s="17"/>
      <c r="G271" s="17"/>
      <c r="H271" s="17"/>
      <c r="I271" s="17"/>
      <c r="J271" s="17"/>
      <c r="K271" s="17"/>
      <c r="L271" s="17"/>
      <c r="M271" s="17"/>
      <c r="N271" s="17"/>
      <c r="O271" s="17"/>
      <c r="P271" s="17"/>
      <c r="Q271" s="17"/>
      <c r="R271" s="17"/>
      <c r="S271" s="17"/>
      <c r="T271" s="17"/>
      <c r="U271" s="17"/>
      <c r="V271" s="17"/>
      <c r="W271" s="17"/>
      <c r="X271" s="17"/>
      <c r="Y271" s="17"/>
    </row>
    <row r="272" spans="2:25" x14ac:dyDescent="0.35">
      <c r="B272" t="s">
        <v>85</v>
      </c>
      <c r="C272" s="17">
        <v>0.48272787761509001</v>
      </c>
      <c r="D272" s="17">
        <v>0.46477019125294899</v>
      </c>
      <c r="E272" s="17">
        <v>0.49904047016476</v>
      </c>
      <c r="F272" s="17"/>
      <c r="G272" s="17">
        <v>0.61729356169962102</v>
      </c>
      <c r="H272" s="17">
        <v>0.60412333453897105</v>
      </c>
      <c r="I272" s="17">
        <v>0.54590755101478405</v>
      </c>
      <c r="J272" s="17">
        <v>0.51363256766130405</v>
      </c>
      <c r="K272" s="17">
        <v>0.44119411307384998</v>
      </c>
      <c r="L272" s="17">
        <v>0.32647827805024299</v>
      </c>
      <c r="M272" s="17"/>
      <c r="N272" s="17">
        <v>0.58575233112853897</v>
      </c>
      <c r="O272" s="17">
        <v>0.49743598970403202</v>
      </c>
      <c r="P272" s="17">
        <v>0.44200470021239402</v>
      </c>
      <c r="Q272" s="17">
        <v>0.46531489001304399</v>
      </c>
      <c r="R272" s="17">
        <v>0.43047566728553699</v>
      </c>
      <c r="S272" s="17">
        <v>0.56441320333416101</v>
      </c>
      <c r="T272" s="17">
        <v>0.62746339120050398</v>
      </c>
      <c r="U272" s="17">
        <v>0.301552784912896</v>
      </c>
      <c r="V272" s="17">
        <v>0.58389349685615299</v>
      </c>
      <c r="W272" s="17"/>
      <c r="X272" s="17">
        <v>0.53008511523382296</v>
      </c>
      <c r="Y272" s="17">
        <v>0.45652196755776198</v>
      </c>
    </row>
    <row r="273" spans="2:25" x14ac:dyDescent="0.35">
      <c r="B273" t="s">
        <v>86</v>
      </c>
      <c r="C273" s="17">
        <v>0.26178791393412598</v>
      </c>
      <c r="D273" s="17">
        <v>0.26849309878948502</v>
      </c>
      <c r="E273" s="17">
        <v>0.25598081727697802</v>
      </c>
      <c r="F273" s="17"/>
      <c r="G273" s="17">
        <v>0.226995700376909</v>
      </c>
      <c r="H273" s="17">
        <v>0.25473583169960301</v>
      </c>
      <c r="I273" s="17">
        <v>0.27373542775658599</v>
      </c>
      <c r="J273" s="17">
        <v>0.26563168462088699</v>
      </c>
      <c r="K273" s="17">
        <v>0.27477041285392101</v>
      </c>
      <c r="L273" s="17">
        <v>0.26007471491047601</v>
      </c>
      <c r="M273" s="17"/>
      <c r="N273" s="17">
        <v>0.20334439129256601</v>
      </c>
      <c r="O273" s="17">
        <v>0.213184409561196</v>
      </c>
      <c r="P273" s="17">
        <v>0.25735573737346301</v>
      </c>
      <c r="Q273" s="17">
        <v>0.231724138014853</v>
      </c>
      <c r="R273" s="17">
        <v>0.33759979856044398</v>
      </c>
      <c r="S273" s="17">
        <v>0.21552171635188</v>
      </c>
      <c r="T273" s="17">
        <v>0.229207933750359</v>
      </c>
      <c r="U273" s="17">
        <v>0.33061161961757901</v>
      </c>
      <c r="V273" s="17">
        <v>0.23778895458014099</v>
      </c>
      <c r="W273" s="17"/>
      <c r="X273" s="17">
        <v>0.24558119359126299</v>
      </c>
      <c r="Y273" s="17">
        <v>0.27075617046649902</v>
      </c>
    </row>
    <row r="274" spans="2:25" x14ac:dyDescent="0.35">
      <c r="B274" t="s">
        <v>181</v>
      </c>
      <c r="C274" s="17">
        <v>0.117109159997526</v>
      </c>
      <c r="D274" s="17">
        <v>0.12536609544531699</v>
      </c>
      <c r="E274" s="17">
        <v>0.10918440800377099</v>
      </c>
      <c r="F274" s="17"/>
      <c r="G274" s="17">
        <v>9.9132407068203005E-2</v>
      </c>
      <c r="H274" s="17">
        <v>0.10171660654331301</v>
      </c>
      <c r="I274" s="17">
        <v>0.115401348427881</v>
      </c>
      <c r="J274" s="17">
        <v>0.117485063175819</v>
      </c>
      <c r="K274" s="17">
        <v>0.109763630133643</v>
      </c>
      <c r="L274" s="17">
        <v>0.13858488835541499</v>
      </c>
      <c r="M274" s="17"/>
      <c r="N274" s="17">
        <v>8.6314134666458694E-2</v>
      </c>
      <c r="O274" s="17">
        <v>0.12699391775677199</v>
      </c>
      <c r="P274" s="17">
        <v>0.114392486199693</v>
      </c>
      <c r="Q274" s="17">
        <v>0.127250696480152</v>
      </c>
      <c r="R274" s="17">
        <v>0.12927940126495799</v>
      </c>
      <c r="S274" s="17">
        <v>9.66843291835809E-2</v>
      </c>
      <c r="T274" s="17">
        <v>8.8459268072514696E-2</v>
      </c>
      <c r="U274" s="17">
        <v>0.16990258621009699</v>
      </c>
      <c r="V274" s="17">
        <v>7.0186327964559397E-2</v>
      </c>
      <c r="W274" s="17"/>
      <c r="X274" s="17">
        <v>0.111591513569088</v>
      </c>
      <c r="Y274" s="17">
        <v>0.12016244083277899</v>
      </c>
    </row>
    <row r="275" spans="2:25" x14ac:dyDescent="0.35">
      <c r="B275" t="s">
        <v>88</v>
      </c>
      <c r="C275" s="17">
        <v>4.0092956011060901E-2</v>
      </c>
      <c r="D275" s="17">
        <v>4.1520888790150097E-2</v>
      </c>
      <c r="E275" s="17">
        <v>3.8909127630585703E-2</v>
      </c>
      <c r="F275" s="17"/>
      <c r="G275" s="17">
        <v>3.30401051592107E-2</v>
      </c>
      <c r="H275" s="17">
        <v>2.01152373154929E-2</v>
      </c>
      <c r="I275" s="17">
        <v>2.1393612006277301E-2</v>
      </c>
      <c r="J275" s="17">
        <v>3.6841725536032099E-2</v>
      </c>
      <c r="K275" s="17">
        <v>4.9070072271521402E-2</v>
      </c>
      <c r="L275" s="17">
        <v>6.2851718709930796E-2</v>
      </c>
      <c r="M275" s="17"/>
      <c r="N275" s="17">
        <v>2.4171278409530199E-2</v>
      </c>
      <c r="O275" s="17">
        <v>5.9212304426394302E-2</v>
      </c>
      <c r="P275" s="17">
        <v>4.2094436612996701E-2</v>
      </c>
      <c r="Q275" s="17">
        <v>3.6209975694799203E-2</v>
      </c>
      <c r="R275" s="17">
        <v>3.9696235567343002E-2</v>
      </c>
      <c r="S275" s="17">
        <v>2.2864510640245798E-2</v>
      </c>
      <c r="T275" s="17">
        <v>2.08319640174763E-2</v>
      </c>
      <c r="U275" s="17">
        <v>8.4436984716204394E-2</v>
      </c>
      <c r="V275" s="17">
        <v>2.48277224781553E-2</v>
      </c>
      <c r="W275" s="17"/>
      <c r="X275" s="17">
        <v>3.5041906405787498E-2</v>
      </c>
      <c r="Y275" s="17">
        <v>4.2888037783282699E-2</v>
      </c>
    </row>
    <row r="276" spans="2:25" x14ac:dyDescent="0.35">
      <c r="B276" t="s">
        <v>89</v>
      </c>
      <c r="C276" s="17">
        <v>5.0635406128093398E-2</v>
      </c>
      <c r="D276" s="17">
        <v>5.2103711613103197E-2</v>
      </c>
      <c r="E276" s="17">
        <v>4.9455755531826198E-2</v>
      </c>
      <c r="F276" s="17"/>
      <c r="G276" s="17">
        <v>9.4623174802558E-3</v>
      </c>
      <c r="H276" s="17">
        <v>7.8594102168107992E-3</v>
      </c>
      <c r="I276" s="17">
        <v>2.2303213644854301E-2</v>
      </c>
      <c r="J276" s="17">
        <v>3.2816857914339401E-2</v>
      </c>
      <c r="K276" s="17">
        <v>6.7351767302374202E-2</v>
      </c>
      <c r="L276" s="17">
        <v>0.110627599045879</v>
      </c>
      <c r="M276" s="17"/>
      <c r="N276" s="17">
        <v>3.1401764326774502E-2</v>
      </c>
      <c r="O276" s="17">
        <v>5.5159948783381402E-2</v>
      </c>
      <c r="P276" s="17">
        <v>8.84802125265991E-2</v>
      </c>
      <c r="Q276" s="17">
        <v>8.0353223415477196E-2</v>
      </c>
      <c r="R276" s="17">
        <v>2.87475503383273E-2</v>
      </c>
      <c r="S276" s="17">
        <v>4.3442244841344797E-2</v>
      </c>
      <c r="T276" s="17">
        <v>1.04236095251892E-2</v>
      </c>
      <c r="U276" s="17">
        <v>5.9080169741174103E-2</v>
      </c>
      <c r="V276" s="17">
        <v>4.22855136749428E-2</v>
      </c>
      <c r="W276" s="17"/>
      <c r="X276" s="17">
        <v>3.9871333041202099E-2</v>
      </c>
      <c r="Y276" s="17">
        <v>5.6591883856726699E-2</v>
      </c>
    </row>
    <row r="277" spans="2:25" x14ac:dyDescent="0.35">
      <c r="B277" t="s">
        <v>69</v>
      </c>
      <c r="C277" s="17">
        <v>4.76466863141033E-2</v>
      </c>
      <c r="D277" s="17">
        <v>4.7746014108995503E-2</v>
      </c>
      <c r="E277" s="17">
        <v>4.7429421392079001E-2</v>
      </c>
      <c r="F277" s="17"/>
      <c r="G277" s="17">
        <v>1.4075908215800501E-2</v>
      </c>
      <c r="H277" s="17">
        <v>1.1449579685809E-2</v>
      </c>
      <c r="I277" s="17">
        <v>2.1258847149617201E-2</v>
      </c>
      <c r="J277" s="17">
        <v>3.35921010916184E-2</v>
      </c>
      <c r="K277" s="17">
        <v>5.7850004364690302E-2</v>
      </c>
      <c r="L277" s="17">
        <v>0.101382800928056</v>
      </c>
      <c r="M277" s="17"/>
      <c r="N277" s="17">
        <v>6.90161001761318E-2</v>
      </c>
      <c r="O277" s="17">
        <v>4.80134297682248E-2</v>
      </c>
      <c r="P277" s="17">
        <v>5.5672427074854397E-2</v>
      </c>
      <c r="Q277" s="17">
        <v>5.9147076381675198E-2</v>
      </c>
      <c r="R277" s="17">
        <v>3.4201346983389801E-2</v>
      </c>
      <c r="S277" s="17">
        <v>5.7073995648787297E-2</v>
      </c>
      <c r="T277" s="17">
        <v>2.3613833433956701E-2</v>
      </c>
      <c r="U277" s="17">
        <v>5.4415854802050599E-2</v>
      </c>
      <c r="V277" s="17">
        <v>4.10179844460489E-2</v>
      </c>
      <c r="W277" s="17"/>
      <c r="X277" s="17">
        <v>3.7828938158836298E-2</v>
      </c>
      <c r="Y277" s="17">
        <v>5.3079499502950503E-2</v>
      </c>
    </row>
    <row r="278" spans="2:25" x14ac:dyDescent="0.35">
      <c r="B278" t="s">
        <v>90</v>
      </c>
      <c r="C278" s="17">
        <v>0.74451579154921599</v>
      </c>
      <c r="D278" s="17">
        <v>0.73326329004243396</v>
      </c>
      <c r="E278" s="17">
        <v>0.75502128744173802</v>
      </c>
      <c r="F278" s="17"/>
      <c r="G278" s="17">
        <v>0.84428926207652999</v>
      </c>
      <c r="H278" s="17">
        <v>0.85885916623857395</v>
      </c>
      <c r="I278" s="17">
        <v>0.81964297877137005</v>
      </c>
      <c r="J278" s="17">
        <v>0.77926425228219098</v>
      </c>
      <c r="K278" s="17">
        <v>0.71596452592777104</v>
      </c>
      <c r="L278" s="17">
        <v>0.58655299296071906</v>
      </c>
      <c r="M278" s="17"/>
      <c r="N278" s="17">
        <v>0.78909672242110496</v>
      </c>
      <c r="O278" s="17">
        <v>0.71062039926522802</v>
      </c>
      <c r="P278" s="17">
        <v>0.69936043758585698</v>
      </c>
      <c r="Q278" s="17">
        <v>0.69703902802789697</v>
      </c>
      <c r="R278" s="17">
        <v>0.76807546584598196</v>
      </c>
      <c r="S278" s="17">
        <v>0.77993491968604101</v>
      </c>
      <c r="T278" s="17">
        <v>0.85667132495086296</v>
      </c>
      <c r="U278" s="17">
        <v>0.63216440453047396</v>
      </c>
      <c r="V278" s="17">
        <v>0.82168245143629404</v>
      </c>
      <c r="W278" s="17"/>
      <c r="X278" s="17">
        <v>0.77566630882508603</v>
      </c>
      <c r="Y278" s="17">
        <v>0.727278138024261</v>
      </c>
    </row>
    <row r="279" spans="2:25" x14ac:dyDescent="0.35">
      <c r="B279" t="s">
        <v>91</v>
      </c>
      <c r="C279" s="17">
        <v>9.0728362139154306E-2</v>
      </c>
      <c r="D279" s="17">
        <v>9.3624600403253294E-2</v>
      </c>
      <c r="E279" s="17">
        <v>8.8364883162412006E-2</v>
      </c>
      <c r="F279" s="17"/>
      <c r="G279" s="17">
        <v>4.2502422639466499E-2</v>
      </c>
      <c r="H279" s="17">
        <v>2.7974647532303699E-2</v>
      </c>
      <c r="I279" s="17">
        <v>4.3696825651131602E-2</v>
      </c>
      <c r="J279" s="17">
        <v>6.96585834503715E-2</v>
      </c>
      <c r="K279" s="17">
        <v>0.116421839573896</v>
      </c>
      <c r="L279" s="17">
        <v>0.17347931775580999</v>
      </c>
      <c r="M279" s="17"/>
      <c r="N279" s="17">
        <v>5.5573042736304701E-2</v>
      </c>
      <c r="O279" s="17">
        <v>0.114372253209776</v>
      </c>
      <c r="P279" s="17">
        <v>0.13057464913959599</v>
      </c>
      <c r="Q279" s="17">
        <v>0.116563199110276</v>
      </c>
      <c r="R279" s="17">
        <v>6.8443785905670296E-2</v>
      </c>
      <c r="S279" s="17">
        <v>6.6306755481590707E-2</v>
      </c>
      <c r="T279" s="17">
        <v>3.1255573542665602E-2</v>
      </c>
      <c r="U279" s="17">
        <v>0.143517154457379</v>
      </c>
      <c r="V279" s="17">
        <v>6.7113236153098096E-2</v>
      </c>
      <c r="W279" s="17"/>
      <c r="X279" s="17">
        <v>7.4913239446989605E-2</v>
      </c>
      <c r="Y279" s="17">
        <v>9.9479921640009406E-2</v>
      </c>
    </row>
    <row r="280" spans="2:25" x14ac:dyDescent="0.35">
      <c r="B280" t="s">
        <v>92</v>
      </c>
      <c r="C280" s="17">
        <v>0.65378742941006096</v>
      </c>
      <c r="D280" s="17">
        <v>0.63963868963918102</v>
      </c>
      <c r="E280" s="17">
        <v>0.66665640427932604</v>
      </c>
      <c r="F280" s="17"/>
      <c r="G280" s="17">
        <v>0.80178683943706397</v>
      </c>
      <c r="H280" s="17">
        <v>0.830884518706271</v>
      </c>
      <c r="I280" s="17">
        <v>0.77594615312023896</v>
      </c>
      <c r="J280" s="17">
        <v>0.70960566883181897</v>
      </c>
      <c r="K280" s="17">
        <v>0.59954268635387498</v>
      </c>
      <c r="L280" s="17">
        <v>0.41307367520490901</v>
      </c>
      <c r="M280" s="17"/>
      <c r="N280" s="17">
        <v>0.73352367968480003</v>
      </c>
      <c r="O280" s="17">
        <v>0.59624814605545196</v>
      </c>
      <c r="P280" s="17">
        <v>0.56878578844626104</v>
      </c>
      <c r="Q280" s="17">
        <v>0.58047582891761995</v>
      </c>
      <c r="R280" s="17">
        <v>0.69963167994031095</v>
      </c>
      <c r="S280" s="17">
        <v>0.71362816420444997</v>
      </c>
      <c r="T280" s="17">
        <v>0.82541575140819801</v>
      </c>
      <c r="U280" s="17">
        <v>0.48864725007309601</v>
      </c>
      <c r="V280" s="17">
        <v>0.75456921528319498</v>
      </c>
      <c r="W280" s="17"/>
      <c r="X280" s="17">
        <v>0.70075306937809601</v>
      </c>
      <c r="Y280" s="17">
        <v>0.62779821638425104</v>
      </c>
    </row>
    <row r="281" spans="2:25" x14ac:dyDescent="0.35">
      <c r="C281" s="17"/>
      <c r="D281" s="17"/>
      <c r="E281" s="17"/>
      <c r="F281" s="17"/>
      <c r="G281" s="17"/>
      <c r="H281" s="17"/>
      <c r="I281" s="17"/>
      <c r="J281" s="17"/>
      <c r="K281" s="17"/>
      <c r="L281" s="17"/>
      <c r="M281" s="17"/>
      <c r="N281" s="17"/>
      <c r="O281" s="17"/>
      <c r="P281" s="17"/>
      <c r="Q281" s="17"/>
      <c r="R281" s="17"/>
      <c r="S281" s="17"/>
      <c r="T281" s="17"/>
      <c r="U281" s="17"/>
      <c r="V281" s="17"/>
      <c r="W281" s="17"/>
      <c r="X281" s="17"/>
      <c r="Y281" s="17"/>
    </row>
    <row r="282" spans="2:25" x14ac:dyDescent="0.35">
      <c r="B282" s="6" t="s">
        <v>188</v>
      </c>
      <c r="C282" s="17"/>
      <c r="D282" s="17"/>
      <c r="E282" s="17"/>
      <c r="F282" s="17"/>
      <c r="G282" s="17"/>
      <c r="H282" s="17"/>
      <c r="I282" s="17"/>
      <c r="J282" s="17"/>
      <c r="K282" s="17"/>
      <c r="L282" s="17"/>
      <c r="M282" s="17"/>
      <c r="N282" s="17"/>
      <c r="O282" s="17"/>
      <c r="P282" s="17"/>
      <c r="Q282" s="17"/>
      <c r="R282" s="17"/>
      <c r="S282" s="17"/>
      <c r="T282" s="17"/>
      <c r="U282" s="17"/>
      <c r="V282" s="17"/>
      <c r="W282" s="17"/>
      <c r="X282" s="17"/>
      <c r="Y282" s="17"/>
    </row>
    <row r="283" spans="2:25" x14ac:dyDescent="0.35">
      <c r="B283" s="24" t="s">
        <v>50</v>
      </c>
      <c r="C283" s="17"/>
      <c r="D283" s="17"/>
      <c r="E283" s="17"/>
      <c r="F283" s="17"/>
      <c r="G283" s="17"/>
      <c r="H283" s="17"/>
      <c r="I283" s="17"/>
      <c r="J283" s="17"/>
      <c r="K283" s="17"/>
      <c r="L283" s="17"/>
      <c r="M283" s="17"/>
      <c r="N283" s="17"/>
      <c r="O283" s="17"/>
      <c r="P283" s="17"/>
      <c r="Q283" s="17"/>
      <c r="R283" s="17"/>
      <c r="S283" s="17"/>
      <c r="T283" s="17"/>
      <c r="U283" s="17"/>
      <c r="V283" s="17"/>
      <c r="W283" s="17"/>
      <c r="X283" s="17"/>
      <c r="Y283" s="17"/>
    </row>
    <row r="284" spans="2:25" x14ac:dyDescent="0.35">
      <c r="B284" t="s">
        <v>85</v>
      </c>
      <c r="C284" s="17">
        <v>0.26773507676122998</v>
      </c>
      <c r="D284" s="17">
        <v>0.30984567084091102</v>
      </c>
      <c r="E284" s="17">
        <v>0.22805508508636199</v>
      </c>
      <c r="F284" s="17"/>
      <c r="G284" s="17">
        <v>0.28271470132207899</v>
      </c>
      <c r="H284" s="17">
        <v>0.34461029374222102</v>
      </c>
      <c r="I284" s="17">
        <v>0.29762675217081302</v>
      </c>
      <c r="J284" s="17">
        <v>0.27185518258993802</v>
      </c>
      <c r="K284" s="17">
        <v>0.250820400838074</v>
      </c>
      <c r="L284" s="17">
        <v>0.20579548509957099</v>
      </c>
      <c r="M284" s="17"/>
      <c r="N284" s="17">
        <v>0.38421988420168002</v>
      </c>
      <c r="O284" s="17">
        <v>0.26574895676315702</v>
      </c>
      <c r="P284" s="17">
        <v>0.26734005098395103</v>
      </c>
      <c r="Q284" s="17">
        <v>0.32002223566414301</v>
      </c>
      <c r="R284" s="17">
        <v>0.24728675939815101</v>
      </c>
      <c r="S284" s="17">
        <v>0.295055045428536</v>
      </c>
      <c r="T284" s="17">
        <v>0.19872986001950399</v>
      </c>
      <c r="U284" s="17">
        <v>0.246467621815562</v>
      </c>
      <c r="V284" s="17">
        <v>0.28788035652322302</v>
      </c>
      <c r="W284" s="17"/>
      <c r="X284" s="17">
        <v>0.37700481497774802</v>
      </c>
      <c r="Y284" s="17">
        <v>0.20726886133828601</v>
      </c>
    </row>
    <row r="285" spans="2:25" x14ac:dyDescent="0.35">
      <c r="B285" t="s">
        <v>86</v>
      </c>
      <c r="C285" s="17">
        <v>0.25184930465771199</v>
      </c>
      <c r="D285" s="17">
        <v>0.26705877653167998</v>
      </c>
      <c r="E285" s="17">
        <v>0.237948095462096</v>
      </c>
      <c r="F285" s="17"/>
      <c r="G285" s="17">
        <v>0.31142556964646601</v>
      </c>
      <c r="H285" s="17">
        <v>0.31133499250066998</v>
      </c>
      <c r="I285" s="17">
        <v>0.28575233456742</v>
      </c>
      <c r="J285" s="17">
        <v>0.25458964724372402</v>
      </c>
      <c r="K285" s="17">
        <v>0.22206500464672899</v>
      </c>
      <c r="L285" s="17">
        <v>0.19044836143125399</v>
      </c>
      <c r="M285" s="17"/>
      <c r="N285" s="17">
        <v>0.25976195823967702</v>
      </c>
      <c r="O285" s="17">
        <v>0.29846718047815002</v>
      </c>
      <c r="P285" s="17">
        <v>0.25094709035734297</v>
      </c>
      <c r="Q285" s="17">
        <v>0.244009234945024</v>
      </c>
      <c r="R285" s="17">
        <v>0.32287642815197898</v>
      </c>
      <c r="S285" s="17">
        <v>0.20683154582188701</v>
      </c>
      <c r="T285" s="17">
        <v>0.20985939453701399</v>
      </c>
      <c r="U285" s="17">
        <v>0.26700026293599699</v>
      </c>
      <c r="V285" s="17">
        <v>0.248728685715253</v>
      </c>
      <c r="W285" s="17"/>
      <c r="X285" s="17">
        <v>0.282338961030831</v>
      </c>
      <c r="Y285" s="17">
        <v>0.23497734943461501</v>
      </c>
    </row>
    <row r="286" spans="2:25" x14ac:dyDescent="0.35">
      <c r="B286" t="s">
        <v>181</v>
      </c>
      <c r="C286" s="17">
        <v>0.18999264502718</v>
      </c>
      <c r="D286" s="17">
        <v>0.18941466335559201</v>
      </c>
      <c r="E286" s="17">
        <v>0.18955203405319701</v>
      </c>
      <c r="F286" s="17"/>
      <c r="G286" s="17">
        <v>0.23259865356366699</v>
      </c>
      <c r="H286" s="17">
        <v>0.18422185100270899</v>
      </c>
      <c r="I286" s="17">
        <v>0.20728841184219701</v>
      </c>
      <c r="J286" s="17">
        <v>0.20328363281751</v>
      </c>
      <c r="K286" s="17">
        <v>0.175032442096719</v>
      </c>
      <c r="L286" s="17">
        <v>0.167223478525169</v>
      </c>
      <c r="M286" s="17"/>
      <c r="N286" s="17">
        <v>0.158727666584421</v>
      </c>
      <c r="O286" s="17">
        <v>0.195202433950176</v>
      </c>
      <c r="P286" s="17">
        <v>0.16425191604307501</v>
      </c>
      <c r="Q286" s="17">
        <v>0.17001416473084699</v>
      </c>
      <c r="R286" s="17">
        <v>0.185995241866491</v>
      </c>
      <c r="S286" s="17">
        <v>0.17537282981206501</v>
      </c>
      <c r="T286" s="17">
        <v>0.23011397790065699</v>
      </c>
      <c r="U286" s="17">
        <v>0.22949551836652099</v>
      </c>
      <c r="V286" s="17">
        <v>0.164835412993111</v>
      </c>
      <c r="W286" s="17"/>
      <c r="X286" s="17">
        <v>0.156876773551379</v>
      </c>
      <c r="Y286" s="17">
        <v>0.20831785977791401</v>
      </c>
    </row>
    <row r="287" spans="2:25" x14ac:dyDescent="0.35">
      <c r="B287" t="s">
        <v>88</v>
      </c>
      <c r="C287" s="17">
        <v>9.4181852186355497E-2</v>
      </c>
      <c r="D287" s="17">
        <v>8.9120055324915196E-2</v>
      </c>
      <c r="E287" s="17">
        <v>9.8999339940568698E-2</v>
      </c>
      <c r="F287" s="17"/>
      <c r="G287" s="17">
        <v>9.3956784384863407E-2</v>
      </c>
      <c r="H287" s="17">
        <v>7.6270879118482904E-2</v>
      </c>
      <c r="I287" s="17">
        <v>8.8026864540701494E-2</v>
      </c>
      <c r="J287" s="17">
        <v>8.53985370513973E-2</v>
      </c>
      <c r="K287" s="17">
        <v>0.101151031568897</v>
      </c>
      <c r="L287" s="17">
        <v>0.110231591469203</v>
      </c>
      <c r="M287" s="17"/>
      <c r="N287" s="17">
        <v>9.5755853902123697E-2</v>
      </c>
      <c r="O287" s="17">
        <v>8.6626498318052594E-2</v>
      </c>
      <c r="P287" s="17">
        <v>0.10278880692160999</v>
      </c>
      <c r="Q287" s="17">
        <v>9.9218690169754098E-2</v>
      </c>
      <c r="R287" s="17">
        <v>9.3069888997403302E-2</v>
      </c>
      <c r="S287" s="17">
        <v>7.9739437421420298E-2</v>
      </c>
      <c r="T287" s="17">
        <v>0.13526540499666601</v>
      </c>
      <c r="U287" s="17">
        <v>5.3633211293676201E-2</v>
      </c>
      <c r="V287" s="17">
        <v>0.100775875237332</v>
      </c>
      <c r="W287" s="17"/>
      <c r="X287" s="17">
        <v>7.003338534728E-2</v>
      </c>
      <c r="Y287" s="17">
        <v>0.107544805386921</v>
      </c>
    </row>
    <row r="288" spans="2:25" x14ac:dyDescent="0.35">
      <c r="B288" t="s">
        <v>89</v>
      </c>
      <c r="C288" s="17">
        <v>0.110007431864226</v>
      </c>
      <c r="D288" s="17">
        <v>8.2944569458512196E-2</v>
      </c>
      <c r="E288" s="17">
        <v>0.135924611541132</v>
      </c>
      <c r="F288" s="17"/>
      <c r="G288" s="17">
        <v>4.0986749397782102E-2</v>
      </c>
      <c r="H288" s="17">
        <v>5.5506517576002001E-2</v>
      </c>
      <c r="I288" s="17">
        <v>6.2966898610626501E-2</v>
      </c>
      <c r="J288" s="17">
        <v>9.7591543922466897E-2</v>
      </c>
      <c r="K288" s="17">
        <v>0.148119236390227</v>
      </c>
      <c r="L288" s="17">
        <v>0.181529708797631</v>
      </c>
      <c r="M288" s="17"/>
      <c r="N288" s="17">
        <v>6.1936238663061798E-2</v>
      </c>
      <c r="O288" s="17">
        <v>0.12852255611431199</v>
      </c>
      <c r="P288" s="17">
        <v>0.12347240931825899</v>
      </c>
      <c r="Q288" s="17">
        <v>0.12311440920604599</v>
      </c>
      <c r="R288" s="17">
        <v>6.1943194713891002E-2</v>
      </c>
      <c r="S288" s="17">
        <v>0.12609326508112101</v>
      </c>
      <c r="T288" s="17">
        <v>0.15156904289689599</v>
      </c>
      <c r="U288" s="17">
        <v>6.1504952741720999E-2</v>
      </c>
      <c r="V288" s="17">
        <v>0.156432271976082</v>
      </c>
      <c r="W288" s="17"/>
      <c r="X288" s="17">
        <v>7.1676822758482306E-2</v>
      </c>
      <c r="Y288" s="17">
        <v>0.131218307860726</v>
      </c>
    </row>
    <row r="289" spans="2:25" x14ac:dyDescent="0.35">
      <c r="B289" t="s">
        <v>69</v>
      </c>
      <c r="C289" s="17">
        <v>8.6233689503297101E-2</v>
      </c>
      <c r="D289" s="17">
        <v>6.1616264488389902E-2</v>
      </c>
      <c r="E289" s="17">
        <v>0.10952083391664399</v>
      </c>
      <c r="F289" s="17"/>
      <c r="G289" s="17">
        <v>3.8317541685142897E-2</v>
      </c>
      <c r="H289" s="17">
        <v>2.80554660599153E-2</v>
      </c>
      <c r="I289" s="17">
        <v>5.8338738268241902E-2</v>
      </c>
      <c r="J289" s="17">
        <v>8.7281456374963595E-2</v>
      </c>
      <c r="K289" s="17">
        <v>0.10281188445935301</v>
      </c>
      <c r="L289" s="17">
        <v>0.14477137467717199</v>
      </c>
      <c r="M289" s="17"/>
      <c r="N289" s="17">
        <v>3.9598398409037297E-2</v>
      </c>
      <c r="O289" s="17">
        <v>2.5432374376151999E-2</v>
      </c>
      <c r="P289" s="17">
        <v>9.1199726375762499E-2</v>
      </c>
      <c r="Q289" s="17">
        <v>4.3621265284186098E-2</v>
      </c>
      <c r="R289" s="17">
        <v>8.8828486872083806E-2</v>
      </c>
      <c r="S289" s="17">
        <v>0.116907876434971</v>
      </c>
      <c r="T289" s="17">
        <v>7.4462319649262601E-2</v>
      </c>
      <c r="U289" s="17">
        <v>0.14189843284652401</v>
      </c>
      <c r="V289" s="17">
        <v>4.1347397555000297E-2</v>
      </c>
      <c r="W289" s="17"/>
      <c r="X289" s="17">
        <v>4.2069242334279298E-2</v>
      </c>
      <c r="Y289" s="17">
        <v>0.110672816201537</v>
      </c>
    </row>
    <row r="290" spans="2:25" x14ac:dyDescent="0.35">
      <c r="B290" t="s">
        <v>90</v>
      </c>
      <c r="C290" s="17">
        <v>0.51958438141894103</v>
      </c>
      <c r="D290" s="17">
        <v>0.57690444737259094</v>
      </c>
      <c r="E290" s="17">
        <v>0.46600318054845802</v>
      </c>
      <c r="F290" s="17"/>
      <c r="G290" s="17">
        <v>0.59414027096854505</v>
      </c>
      <c r="H290" s="17">
        <v>0.65594528624289095</v>
      </c>
      <c r="I290" s="17">
        <v>0.58337908673823302</v>
      </c>
      <c r="J290" s="17">
        <v>0.52644482983366203</v>
      </c>
      <c r="K290" s="17">
        <v>0.47288540548480301</v>
      </c>
      <c r="L290" s="17">
        <v>0.39624384653082501</v>
      </c>
      <c r="M290" s="17"/>
      <c r="N290" s="17">
        <v>0.64398184244135603</v>
      </c>
      <c r="O290" s="17">
        <v>0.56421613724130704</v>
      </c>
      <c r="P290" s="17">
        <v>0.51828714134129295</v>
      </c>
      <c r="Q290" s="17">
        <v>0.56403147060916603</v>
      </c>
      <c r="R290" s="17">
        <v>0.57016318755013096</v>
      </c>
      <c r="S290" s="17">
        <v>0.50188659125042301</v>
      </c>
      <c r="T290" s="17">
        <v>0.40858925455651801</v>
      </c>
      <c r="U290" s="17">
        <v>0.51346788475155902</v>
      </c>
      <c r="V290" s="17">
        <v>0.53660904223847605</v>
      </c>
      <c r="W290" s="17"/>
      <c r="X290" s="17">
        <v>0.65934377600857896</v>
      </c>
      <c r="Y290" s="17">
        <v>0.44224621077290099</v>
      </c>
    </row>
    <row r="291" spans="2:25" x14ac:dyDescent="0.35">
      <c r="B291" t="s">
        <v>91</v>
      </c>
      <c r="C291" s="17">
        <v>0.20418928405058201</v>
      </c>
      <c r="D291" s="17">
        <v>0.17206462478342699</v>
      </c>
      <c r="E291" s="17">
        <v>0.234923951481701</v>
      </c>
      <c r="F291" s="17"/>
      <c r="G291" s="17">
        <v>0.13494353378264501</v>
      </c>
      <c r="H291" s="17">
        <v>0.13177739669448499</v>
      </c>
      <c r="I291" s="17">
        <v>0.15099376315132801</v>
      </c>
      <c r="J291" s="17">
        <v>0.18299008097386399</v>
      </c>
      <c r="K291" s="17">
        <v>0.24927026795912499</v>
      </c>
      <c r="L291" s="17">
        <v>0.291761300266835</v>
      </c>
      <c r="M291" s="17"/>
      <c r="N291" s="17">
        <v>0.15769209256518499</v>
      </c>
      <c r="O291" s="17">
        <v>0.21514905443236501</v>
      </c>
      <c r="P291" s="17">
        <v>0.226261216239869</v>
      </c>
      <c r="Q291" s="17">
        <v>0.22233309937580001</v>
      </c>
      <c r="R291" s="17">
        <v>0.15501308371129399</v>
      </c>
      <c r="S291" s="17">
        <v>0.20583270250254099</v>
      </c>
      <c r="T291" s="17">
        <v>0.28683444789356199</v>
      </c>
      <c r="U291" s="17">
        <v>0.11513816403539701</v>
      </c>
      <c r="V291" s="17">
        <v>0.25720814721341301</v>
      </c>
      <c r="W291" s="17"/>
      <c r="X291" s="17">
        <v>0.14171020810576199</v>
      </c>
      <c r="Y291" s="17">
        <v>0.23876311324764701</v>
      </c>
    </row>
    <row r="292" spans="2:25" x14ac:dyDescent="0.35">
      <c r="B292" t="s">
        <v>92</v>
      </c>
      <c r="C292" s="17">
        <v>0.31539509736836002</v>
      </c>
      <c r="D292" s="17">
        <v>0.40483982258916401</v>
      </c>
      <c r="E292" s="17">
        <v>0.23107922906675701</v>
      </c>
      <c r="F292" s="17"/>
      <c r="G292" s="17">
        <v>0.45919673718589898</v>
      </c>
      <c r="H292" s="17">
        <v>0.52416788954840599</v>
      </c>
      <c r="I292" s="17">
        <v>0.43238532358690501</v>
      </c>
      <c r="J292" s="17">
        <v>0.34345474885979799</v>
      </c>
      <c r="K292" s="17">
        <v>0.22361513752567799</v>
      </c>
      <c r="L292" s="17">
        <v>0.10448254626399001</v>
      </c>
      <c r="M292" s="17"/>
      <c r="N292" s="17">
        <v>0.48628974987617102</v>
      </c>
      <c r="O292" s="17">
        <v>0.349067082808942</v>
      </c>
      <c r="P292" s="17">
        <v>0.292025925101424</v>
      </c>
      <c r="Q292" s="17">
        <v>0.34169837123336599</v>
      </c>
      <c r="R292" s="17">
        <v>0.41515010383883599</v>
      </c>
      <c r="S292" s="17">
        <v>0.29605388874788202</v>
      </c>
      <c r="T292" s="17">
        <v>0.121754806662956</v>
      </c>
      <c r="U292" s="17">
        <v>0.39832972071616102</v>
      </c>
      <c r="V292" s="17">
        <v>0.27940089502506199</v>
      </c>
      <c r="W292" s="17"/>
      <c r="X292" s="17">
        <v>0.517633567902817</v>
      </c>
      <c r="Y292" s="17">
        <v>0.20348309752525501</v>
      </c>
    </row>
    <row r="293" spans="2:25" x14ac:dyDescent="0.35">
      <c r="C293" s="17"/>
      <c r="D293" s="17"/>
      <c r="E293" s="17"/>
      <c r="F293" s="17"/>
      <c r="G293" s="17"/>
      <c r="H293" s="17"/>
      <c r="I293" s="17"/>
      <c r="J293" s="17"/>
      <c r="K293" s="17"/>
      <c r="L293" s="17"/>
      <c r="M293" s="17"/>
      <c r="N293" s="17"/>
      <c r="O293" s="17"/>
      <c r="P293" s="17"/>
      <c r="Q293" s="17"/>
      <c r="R293" s="17"/>
      <c r="S293" s="17"/>
      <c r="T293" s="17"/>
      <c r="U293" s="17"/>
      <c r="V293" s="17"/>
      <c r="W293" s="17"/>
      <c r="X293" s="17"/>
      <c r="Y293" s="17"/>
    </row>
    <row r="294" spans="2:25" x14ac:dyDescent="0.35">
      <c r="B294" s="6" t="s">
        <v>189</v>
      </c>
      <c r="C294" s="17"/>
      <c r="D294" s="17"/>
      <c r="E294" s="17"/>
      <c r="F294" s="17"/>
      <c r="G294" s="17"/>
      <c r="H294" s="17"/>
      <c r="I294" s="17"/>
      <c r="J294" s="17"/>
      <c r="K294" s="17"/>
      <c r="L294" s="17"/>
      <c r="M294" s="17"/>
      <c r="N294" s="17"/>
      <c r="O294" s="17"/>
      <c r="P294" s="17"/>
      <c r="Q294" s="17"/>
      <c r="R294" s="17"/>
      <c r="S294" s="17"/>
      <c r="T294" s="17"/>
      <c r="U294" s="17"/>
      <c r="V294" s="17"/>
      <c r="W294" s="17"/>
      <c r="X294" s="17"/>
      <c r="Y294" s="17"/>
    </row>
    <row r="295" spans="2:25" x14ac:dyDescent="0.35">
      <c r="B295" s="24" t="s">
        <v>50</v>
      </c>
      <c r="C295" s="17"/>
      <c r="D295" s="17"/>
      <c r="E295" s="17"/>
      <c r="F295" s="17"/>
      <c r="G295" s="17"/>
      <c r="H295" s="17"/>
      <c r="I295" s="17"/>
      <c r="J295" s="17"/>
      <c r="K295" s="17"/>
      <c r="L295" s="17"/>
      <c r="M295" s="17"/>
      <c r="N295" s="17"/>
      <c r="O295" s="17"/>
      <c r="P295" s="17"/>
      <c r="Q295" s="17"/>
      <c r="R295" s="17"/>
      <c r="S295" s="17"/>
      <c r="T295" s="17"/>
      <c r="U295" s="17"/>
      <c r="V295" s="17"/>
      <c r="W295" s="17"/>
      <c r="X295" s="17"/>
      <c r="Y295" s="17"/>
    </row>
    <row r="296" spans="2:25" x14ac:dyDescent="0.35">
      <c r="B296" t="s">
        <v>85</v>
      </c>
      <c r="C296" s="17">
        <v>0.51405091444487905</v>
      </c>
      <c r="D296" s="17">
        <v>0.51445959189415802</v>
      </c>
      <c r="E296" s="17">
        <v>0.51357937464508396</v>
      </c>
      <c r="F296" s="17"/>
      <c r="G296" s="17">
        <v>0.55095149081863504</v>
      </c>
      <c r="H296" s="17">
        <v>0.58160287986273096</v>
      </c>
      <c r="I296" s="17">
        <v>0.54849630643069303</v>
      </c>
      <c r="J296" s="17">
        <v>0.54440281747217101</v>
      </c>
      <c r="K296" s="17">
        <v>0.51807508705549099</v>
      </c>
      <c r="L296" s="17">
        <v>0.41484391517017</v>
      </c>
      <c r="M296" s="17"/>
      <c r="N296" s="17">
        <v>0.64422060255707103</v>
      </c>
      <c r="O296" s="17">
        <v>0.54428577122589705</v>
      </c>
      <c r="P296" s="17">
        <v>0.41910946968565199</v>
      </c>
      <c r="Q296" s="17">
        <v>0.58871644216533303</v>
      </c>
      <c r="R296" s="17">
        <v>0.47069394068235698</v>
      </c>
      <c r="S296" s="17">
        <v>0.56058657351714503</v>
      </c>
      <c r="T296" s="17">
        <v>0.60952607798816505</v>
      </c>
      <c r="U296" s="17">
        <v>0.36868291219219901</v>
      </c>
      <c r="V296" s="17">
        <v>0.59898085474000895</v>
      </c>
      <c r="W296" s="17"/>
      <c r="X296" s="17">
        <v>0.55837262181696801</v>
      </c>
      <c r="Y296" s="17">
        <v>0.48952476521440302</v>
      </c>
    </row>
    <row r="297" spans="2:25" x14ac:dyDescent="0.35">
      <c r="B297" t="s">
        <v>86</v>
      </c>
      <c r="C297" s="17">
        <v>0.34332542701839303</v>
      </c>
      <c r="D297" s="17">
        <v>0.343909287811971</v>
      </c>
      <c r="E297" s="17">
        <v>0.34326913427345601</v>
      </c>
      <c r="F297" s="17"/>
      <c r="G297" s="17">
        <v>0.317970672109603</v>
      </c>
      <c r="H297" s="17">
        <v>0.30863657218452101</v>
      </c>
      <c r="I297" s="17">
        <v>0.337870353977131</v>
      </c>
      <c r="J297" s="17">
        <v>0.32427827215183902</v>
      </c>
      <c r="K297" s="17">
        <v>0.33882988638238898</v>
      </c>
      <c r="L297" s="17">
        <v>0.39277047519673203</v>
      </c>
      <c r="M297" s="17"/>
      <c r="N297" s="17">
        <v>0.26867916831031202</v>
      </c>
      <c r="O297" s="17">
        <v>0.31783284999309103</v>
      </c>
      <c r="P297" s="17">
        <v>0.40046532771180499</v>
      </c>
      <c r="Q297" s="17">
        <v>0.28388855992906498</v>
      </c>
      <c r="R297" s="17">
        <v>0.40543237461394499</v>
      </c>
      <c r="S297" s="17">
        <v>0.310839334082604</v>
      </c>
      <c r="T297" s="17">
        <v>0.28819879766365197</v>
      </c>
      <c r="U297" s="17">
        <v>0.40697135659810701</v>
      </c>
      <c r="V297" s="17">
        <v>0.305051836802194</v>
      </c>
      <c r="W297" s="17"/>
      <c r="X297" s="17">
        <v>0.328620960740448</v>
      </c>
      <c r="Y297" s="17">
        <v>0.351462386437843</v>
      </c>
    </row>
    <row r="298" spans="2:25" x14ac:dyDescent="0.35">
      <c r="B298" t="s">
        <v>181</v>
      </c>
      <c r="C298" s="17">
        <v>9.1958365437519896E-2</v>
      </c>
      <c r="D298" s="17">
        <v>9.7556125020205095E-2</v>
      </c>
      <c r="E298" s="17">
        <v>8.6393766683610401E-2</v>
      </c>
      <c r="F298" s="17"/>
      <c r="G298" s="17">
        <v>8.8972796058685202E-2</v>
      </c>
      <c r="H298" s="17">
        <v>7.59266765044216E-2</v>
      </c>
      <c r="I298" s="17">
        <v>8.0029490107125595E-2</v>
      </c>
      <c r="J298" s="17">
        <v>9.5223343792043294E-2</v>
      </c>
      <c r="K298" s="17">
        <v>9.1858544919562898E-2</v>
      </c>
      <c r="L298" s="17">
        <v>0.108046348214205</v>
      </c>
      <c r="M298" s="17"/>
      <c r="N298" s="17">
        <v>4.8692809877943999E-2</v>
      </c>
      <c r="O298" s="17">
        <v>6.5174922166832697E-2</v>
      </c>
      <c r="P298" s="17">
        <v>0.103310695035523</v>
      </c>
      <c r="Q298" s="17">
        <v>8.1011025249891205E-2</v>
      </c>
      <c r="R298" s="17">
        <v>8.6623384784641905E-2</v>
      </c>
      <c r="S298" s="17">
        <v>8.2227179993956206E-2</v>
      </c>
      <c r="T298" s="17">
        <v>8.0185889696382698E-2</v>
      </c>
      <c r="U298" s="17">
        <v>0.141442580630182</v>
      </c>
      <c r="V298" s="17">
        <v>6.9950042398622694E-2</v>
      </c>
      <c r="W298" s="17"/>
      <c r="X298" s="17">
        <v>8.2970758699330793E-2</v>
      </c>
      <c r="Y298" s="17">
        <v>9.6931806154392494E-2</v>
      </c>
    </row>
    <row r="299" spans="2:25" x14ac:dyDescent="0.35">
      <c r="B299" t="s">
        <v>88</v>
      </c>
      <c r="C299" s="17">
        <v>2.12133773913393E-2</v>
      </c>
      <c r="D299" s="17">
        <v>1.8986178189633801E-2</v>
      </c>
      <c r="E299" s="17">
        <v>2.30805358393395E-2</v>
      </c>
      <c r="F299" s="17"/>
      <c r="G299" s="17">
        <v>2.7182370877174501E-2</v>
      </c>
      <c r="H299" s="17">
        <v>2.2491036848468801E-2</v>
      </c>
      <c r="I299" s="17">
        <v>2.0397543539605802E-2</v>
      </c>
      <c r="J299" s="17">
        <v>1.2620899151630701E-2</v>
      </c>
      <c r="K299" s="17">
        <v>1.7765407393217001E-2</v>
      </c>
      <c r="L299" s="17">
        <v>2.6900181513116801E-2</v>
      </c>
      <c r="M299" s="17"/>
      <c r="N299" s="17">
        <v>1.35296724267416E-2</v>
      </c>
      <c r="O299" s="17">
        <v>6.0926898028373699E-2</v>
      </c>
      <c r="P299" s="17">
        <v>2.5741942466157599E-2</v>
      </c>
      <c r="Q299" s="17">
        <v>1.6121736092244501E-2</v>
      </c>
      <c r="R299" s="17">
        <v>1.6899304346330801E-2</v>
      </c>
      <c r="S299" s="17">
        <v>1.7966055852853099E-2</v>
      </c>
      <c r="T299" s="17">
        <v>1.36293492505481E-2</v>
      </c>
      <c r="U299" s="17">
        <v>3.6518829872699603E-2</v>
      </c>
      <c r="V299" s="17">
        <v>6.45930841644518E-3</v>
      </c>
      <c r="W299" s="17"/>
      <c r="X299" s="17">
        <v>1.3967853356494499E-2</v>
      </c>
      <c r="Y299" s="17">
        <v>2.5222807854830699E-2</v>
      </c>
    </row>
    <row r="300" spans="2:25" x14ac:dyDescent="0.35">
      <c r="B300" t="s">
        <v>89</v>
      </c>
      <c r="C300" s="17">
        <v>1.2041022760156599E-2</v>
      </c>
      <c r="D300" s="17">
        <v>1.1719924508120001E-2</v>
      </c>
      <c r="E300" s="17">
        <v>1.2391485923749401E-2</v>
      </c>
      <c r="F300" s="17"/>
      <c r="G300" s="17">
        <v>8.2608798375797196E-3</v>
      </c>
      <c r="H300" s="17">
        <v>3.0391697966785001E-3</v>
      </c>
      <c r="I300" s="17">
        <v>2.2953198614826401E-3</v>
      </c>
      <c r="J300" s="17">
        <v>6.9549333488595098E-3</v>
      </c>
      <c r="K300" s="17">
        <v>1.4422615111782101E-2</v>
      </c>
      <c r="L300" s="17">
        <v>2.6936123609952001E-2</v>
      </c>
      <c r="M300" s="17"/>
      <c r="N300" s="17">
        <v>7.9763114493738001E-3</v>
      </c>
      <c r="O300" s="17">
        <v>3.35963674736885E-3</v>
      </c>
      <c r="P300" s="17">
        <v>2.3238065938677499E-2</v>
      </c>
      <c r="Q300" s="17">
        <v>1.6690959522451299E-2</v>
      </c>
      <c r="R300" s="17">
        <v>8.9952984995987206E-3</v>
      </c>
      <c r="S300" s="17">
        <v>8.4609667072690804E-3</v>
      </c>
      <c r="T300" s="17">
        <v>3.03352444132983E-3</v>
      </c>
      <c r="U300" s="17">
        <v>1.5164647032907E-2</v>
      </c>
      <c r="V300" s="17">
        <v>1.0282653231545501E-2</v>
      </c>
      <c r="W300" s="17"/>
      <c r="X300" s="17">
        <v>7.6855442651794703E-3</v>
      </c>
      <c r="Y300" s="17">
        <v>1.44511987635568E-2</v>
      </c>
    </row>
    <row r="301" spans="2:25" x14ac:dyDescent="0.35">
      <c r="B301" t="s">
        <v>69</v>
      </c>
      <c r="C301" s="17">
        <v>1.7410892947711799E-2</v>
      </c>
      <c r="D301" s="17">
        <v>1.33688925759114E-2</v>
      </c>
      <c r="E301" s="17">
        <v>2.1285702634761199E-2</v>
      </c>
      <c r="F301" s="17"/>
      <c r="G301" s="17">
        <v>6.6617902983231404E-3</v>
      </c>
      <c r="H301" s="17">
        <v>8.3036648031782293E-3</v>
      </c>
      <c r="I301" s="17">
        <v>1.0910986083962701E-2</v>
      </c>
      <c r="J301" s="17">
        <v>1.6519734083456201E-2</v>
      </c>
      <c r="K301" s="17">
        <v>1.90484591375574E-2</v>
      </c>
      <c r="L301" s="17">
        <v>3.0502956295824901E-2</v>
      </c>
      <c r="M301" s="17"/>
      <c r="N301" s="17">
        <v>1.6901435378558101E-2</v>
      </c>
      <c r="O301" s="17">
        <v>8.4199218384367405E-3</v>
      </c>
      <c r="P301" s="17">
        <v>2.8134499162184801E-2</v>
      </c>
      <c r="Q301" s="17">
        <v>1.3571277041015101E-2</v>
      </c>
      <c r="R301" s="17">
        <v>1.1355697073126E-2</v>
      </c>
      <c r="S301" s="17">
        <v>1.99198898461726E-2</v>
      </c>
      <c r="T301" s="17">
        <v>5.4263609599226603E-3</v>
      </c>
      <c r="U301" s="17">
        <v>3.1219673673904502E-2</v>
      </c>
      <c r="V301" s="17">
        <v>9.2753044111841196E-3</v>
      </c>
      <c r="W301" s="17"/>
      <c r="X301" s="17">
        <v>8.3822611215796893E-3</v>
      </c>
      <c r="Y301" s="17">
        <v>2.2407035574974199E-2</v>
      </c>
    </row>
    <row r="302" spans="2:25" x14ac:dyDescent="0.35">
      <c r="B302" t="s">
        <v>90</v>
      </c>
      <c r="C302" s="17">
        <v>0.85737634146327202</v>
      </c>
      <c r="D302" s="17">
        <v>0.85836887970612996</v>
      </c>
      <c r="E302" s="17">
        <v>0.85684850891853903</v>
      </c>
      <c r="F302" s="17"/>
      <c r="G302" s="17">
        <v>0.86892216292823798</v>
      </c>
      <c r="H302" s="17">
        <v>0.89023945204725297</v>
      </c>
      <c r="I302" s="17">
        <v>0.88636666040782297</v>
      </c>
      <c r="J302" s="17">
        <v>0.86868108962401003</v>
      </c>
      <c r="K302" s="17">
        <v>0.85690497343787997</v>
      </c>
      <c r="L302" s="17">
        <v>0.80761439036690197</v>
      </c>
      <c r="M302" s="17"/>
      <c r="N302" s="17">
        <v>0.91289977086738205</v>
      </c>
      <c r="O302" s="17">
        <v>0.86211862121898797</v>
      </c>
      <c r="P302" s="17">
        <v>0.81957479739745698</v>
      </c>
      <c r="Q302" s="17">
        <v>0.87260500209439795</v>
      </c>
      <c r="R302" s="17">
        <v>0.87612631529630303</v>
      </c>
      <c r="S302" s="17">
        <v>0.87142590759974903</v>
      </c>
      <c r="T302" s="17">
        <v>0.89772487565181702</v>
      </c>
      <c r="U302" s="17">
        <v>0.77565426879030697</v>
      </c>
      <c r="V302" s="17">
        <v>0.904032691542203</v>
      </c>
      <c r="W302" s="17"/>
      <c r="X302" s="17">
        <v>0.886993582557416</v>
      </c>
      <c r="Y302" s="17">
        <v>0.84098715165224602</v>
      </c>
    </row>
    <row r="303" spans="2:25" x14ac:dyDescent="0.35">
      <c r="B303" t="s">
        <v>91</v>
      </c>
      <c r="C303" s="17">
        <v>3.3254400151495798E-2</v>
      </c>
      <c r="D303" s="17">
        <v>3.0706102697753802E-2</v>
      </c>
      <c r="E303" s="17">
        <v>3.5472021763088897E-2</v>
      </c>
      <c r="F303" s="17"/>
      <c r="G303" s="17">
        <v>3.5443250714754203E-2</v>
      </c>
      <c r="H303" s="17">
        <v>2.55302066451473E-2</v>
      </c>
      <c r="I303" s="17">
        <v>2.2692863401088399E-2</v>
      </c>
      <c r="J303" s="17">
        <v>1.9575832500490199E-2</v>
      </c>
      <c r="K303" s="17">
        <v>3.2188022504999102E-2</v>
      </c>
      <c r="L303" s="17">
        <v>5.3836305123068903E-2</v>
      </c>
      <c r="M303" s="17"/>
      <c r="N303" s="17">
        <v>2.1505983876115398E-2</v>
      </c>
      <c r="O303" s="17">
        <v>6.4286534775742601E-2</v>
      </c>
      <c r="P303" s="17">
        <v>4.8980008404835101E-2</v>
      </c>
      <c r="Q303" s="17">
        <v>3.2812695614695797E-2</v>
      </c>
      <c r="R303" s="17">
        <v>2.5894602845929499E-2</v>
      </c>
      <c r="S303" s="17">
        <v>2.64270225601222E-2</v>
      </c>
      <c r="T303" s="17">
        <v>1.66628736918779E-2</v>
      </c>
      <c r="U303" s="17">
        <v>5.16834769056067E-2</v>
      </c>
      <c r="V303" s="17">
        <v>1.6741961647990598E-2</v>
      </c>
      <c r="W303" s="17"/>
      <c r="X303" s="17">
        <v>2.1653397621673998E-2</v>
      </c>
      <c r="Y303" s="17">
        <v>3.9674006618387499E-2</v>
      </c>
    </row>
    <row r="304" spans="2:25" x14ac:dyDescent="0.35">
      <c r="B304" t="s">
        <v>92</v>
      </c>
      <c r="C304" s="17">
        <v>0.82412194131177696</v>
      </c>
      <c r="D304" s="17">
        <v>0.82766277700837598</v>
      </c>
      <c r="E304" s="17">
        <v>0.82137648715545097</v>
      </c>
      <c r="F304" s="17"/>
      <c r="G304" s="17">
        <v>0.83347891221348303</v>
      </c>
      <c r="H304" s="17">
        <v>0.86470924540210503</v>
      </c>
      <c r="I304" s="17">
        <v>0.86367379700673497</v>
      </c>
      <c r="J304" s="17">
        <v>0.84910525712352003</v>
      </c>
      <c r="K304" s="17">
        <v>0.824716950932881</v>
      </c>
      <c r="L304" s="17">
        <v>0.75377808524383305</v>
      </c>
      <c r="M304" s="17"/>
      <c r="N304" s="17">
        <v>0.89139378699126703</v>
      </c>
      <c r="O304" s="17">
        <v>0.79783208644324499</v>
      </c>
      <c r="P304" s="17">
        <v>0.77059478899262202</v>
      </c>
      <c r="Q304" s="17">
        <v>0.83979230647970204</v>
      </c>
      <c r="R304" s="17">
        <v>0.85023171245037299</v>
      </c>
      <c r="S304" s="17">
        <v>0.84499888503962695</v>
      </c>
      <c r="T304" s="17">
        <v>0.881062001959939</v>
      </c>
      <c r="U304" s="17">
        <v>0.72397079188470004</v>
      </c>
      <c r="V304" s="17">
        <v>0.88729072989421198</v>
      </c>
      <c r="W304" s="17"/>
      <c r="X304" s="17">
        <v>0.86534018493574205</v>
      </c>
      <c r="Y304" s="17">
        <v>0.80131314503385798</v>
      </c>
    </row>
    <row r="305" spans="2:25" x14ac:dyDescent="0.35">
      <c r="C305" s="17"/>
      <c r="D305" s="17"/>
      <c r="E305" s="17"/>
      <c r="F305" s="17"/>
      <c r="G305" s="17"/>
      <c r="H305" s="17"/>
      <c r="I305" s="17"/>
      <c r="J305" s="17"/>
      <c r="K305" s="17"/>
      <c r="L305" s="17"/>
      <c r="M305" s="17"/>
      <c r="N305" s="17"/>
      <c r="O305" s="17"/>
      <c r="P305" s="17"/>
      <c r="Q305" s="17"/>
      <c r="R305" s="17"/>
      <c r="S305" s="17"/>
      <c r="T305" s="17"/>
      <c r="U305" s="17"/>
      <c r="V305" s="17"/>
      <c r="W305" s="17"/>
      <c r="X305" s="17"/>
      <c r="Y305" s="17"/>
    </row>
    <row r="306" spans="2:25" x14ac:dyDescent="0.35">
      <c r="B306" s="6" t="s">
        <v>190</v>
      </c>
      <c r="C306" s="17"/>
      <c r="D306" s="17"/>
      <c r="E306" s="17"/>
      <c r="F306" s="17"/>
      <c r="G306" s="17"/>
      <c r="H306" s="17"/>
      <c r="I306" s="17"/>
      <c r="J306" s="17"/>
      <c r="K306" s="17"/>
      <c r="L306" s="17"/>
      <c r="M306" s="17"/>
      <c r="N306" s="17"/>
      <c r="O306" s="17"/>
      <c r="P306" s="17"/>
      <c r="Q306" s="17"/>
      <c r="R306" s="17"/>
      <c r="S306" s="17"/>
      <c r="T306" s="17"/>
      <c r="U306" s="17"/>
      <c r="V306" s="17"/>
      <c r="W306" s="17"/>
      <c r="X306" s="17"/>
      <c r="Y306" s="17"/>
    </row>
    <row r="307" spans="2:25" x14ac:dyDescent="0.35">
      <c r="B307" s="24" t="s">
        <v>50</v>
      </c>
      <c r="C307" s="17"/>
      <c r="D307" s="17"/>
      <c r="E307" s="17"/>
      <c r="F307" s="17"/>
      <c r="G307" s="17"/>
      <c r="H307" s="17"/>
      <c r="I307" s="17"/>
      <c r="J307" s="17"/>
      <c r="K307" s="17"/>
      <c r="L307" s="17"/>
      <c r="M307" s="17"/>
      <c r="N307" s="17"/>
      <c r="O307" s="17"/>
      <c r="P307" s="17"/>
      <c r="Q307" s="17"/>
      <c r="R307" s="17"/>
      <c r="S307" s="17"/>
      <c r="T307" s="17"/>
      <c r="U307" s="17"/>
      <c r="V307" s="17"/>
      <c r="W307" s="17"/>
      <c r="X307" s="17"/>
      <c r="Y307" s="17"/>
    </row>
    <row r="308" spans="2:25" x14ac:dyDescent="0.35">
      <c r="B308" t="s">
        <v>85</v>
      </c>
      <c r="C308" s="17">
        <v>0.54485053959408802</v>
      </c>
      <c r="D308" s="17">
        <v>0.55414061573370299</v>
      </c>
      <c r="E308" s="17">
        <v>0.53579791993432602</v>
      </c>
      <c r="F308" s="17"/>
      <c r="G308" s="17">
        <v>0.589833430661314</v>
      </c>
      <c r="H308" s="17">
        <v>0.59035644584692204</v>
      </c>
      <c r="I308" s="17">
        <v>0.57090968268494802</v>
      </c>
      <c r="J308" s="17">
        <v>0.57956753872914302</v>
      </c>
      <c r="K308" s="17">
        <v>0.55003916888565696</v>
      </c>
      <c r="L308" s="17">
        <v>0.45731669973603201</v>
      </c>
      <c r="M308" s="17"/>
      <c r="N308" s="17">
        <v>0.69598379177955805</v>
      </c>
      <c r="O308" s="17">
        <v>0.50515438130472601</v>
      </c>
      <c r="P308" s="17">
        <v>0.56256539692075103</v>
      </c>
      <c r="Q308" s="17">
        <v>0.596747114101295</v>
      </c>
      <c r="R308" s="17">
        <v>0.54480970311827304</v>
      </c>
      <c r="S308" s="17">
        <v>0.69194395485674398</v>
      </c>
      <c r="T308" s="17">
        <v>0.40396185027557102</v>
      </c>
      <c r="U308" s="17">
        <v>0.45741297331740599</v>
      </c>
      <c r="V308" s="17">
        <v>0.51696246161213</v>
      </c>
      <c r="W308" s="17"/>
      <c r="X308" s="17">
        <v>0.62125727398847097</v>
      </c>
      <c r="Y308" s="17">
        <v>0.50256961042685799</v>
      </c>
    </row>
    <row r="309" spans="2:25" x14ac:dyDescent="0.35">
      <c r="B309" t="s">
        <v>86</v>
      </c>
      <c r="C309" s="17">
        <v>0.31411524993255802</v>
      </c>
      <c r="D309" s="17">
        <v>0.30452364431505302</v>
      </c>
      <c r="E309" s="17">
        <v>0.32322567046420098</v>
      </c>
      <c r="F309" s="17"/>
      <c r="G309" s="17">
        <v>0.28877393025904302</v>
      </c>
      <c r="H309" s="17">
        <v>0.284560909753303</v>
      </c>
      <c r="I309" s="17">
        <v>0.305948648229457</v>
      </c>
      <c r="J309" s="17">
        <v>0.287676917897361</v>
      </c>
      <c r="K309" s="17">
        <v>0.30473466619234602</v>
      </c>
      <c r="L309" s="17">
        <v>0.37052124347640097</v>
      </c>
      <c r="M309" s="17"/>
      <c r="N309" s="17">
        <v>0.23543721324780501</v>
      </c>
      <c r="O309" s="17">
        <v>0.36246405226113698</v>
      </c>
      <c r="P309" s="17">
        <v>0.325005257727916</v>
      </c>
      <c r="Q309" s="17">
        <v>0.24890084829895701</v>
      </c>
      <c r="R309" s="17">
        <v>0.36443845433886402</v>
      </c>
      <c r="S309" s="17">
        <v>0.22906100328645301</v>
      </c>
      <c r="T309" s="17">
        <v>0.35719587590966501</v>
      </c>
      <c r="U309" s="17">
        <v>0.36675001160068799</v>
      </c>
      <c r="V309" s="17">
        <v>0.31336375649216902</v>
      </c>
      <c r="W309" s="17"/>
      <c r="X309" s="17">
        <v>0.28013125429661401</v>
      </c>
      <c r="Y309" s="17">
        <v>0.33292085553384299</v>
      </c>
    </row>
    <row r="310" spans="2:25" x14ac:dyDescent="0.35">
      <c r="B310" t="s">
        <v>181</v>
      </c>
      <c r="C310" s="17">
        <v>9.2787190069219996E-2</v>
      </c>
      <c r="D310" s="17">
        <v>0.102384779108379</v>
      </c>
      <c r="E310" s="17">
        <v>8.3785017053823602E-2</v>
      </c>
      <c r="F310" s="17"/>
      <c r="G310" s="17">
        <v>8.1365051876871E-2</v>
      </c>
      <c r="H310" s="17">
        <v>9.6593564265541498E-2</v>
      </c>
      <c r="I310" s="17">
        <v>8.1905669461848601E-2</v>
      </c>
      <c r="J310" s="17">
        <v>9.4507234963722694E-2</v>
      </c>
      <c r="K310" s="17">
        <v>8.2427843552196706E-2</v>
      </c>
      <c r="L310" s="17">
        <v>0.107407897930616</v>
      </c>
      <c r="M310" s="17"/>
      <c r="N310" s="17">
        <v>4.7966909311763298E-2</v>
      </c>
      <c r="O310" s="17">
        <v>8.6574881651028807E-2</v>
      </c>
      <c r="P310" s="17">
        <v>6.5155404608106898E-2</v>
      </c>
      <c r="Q310" s="17">
        <v>8.1911055357538995E-2</v>
      </c>
      <c r="R310" s="17">
        <v>6.1064949675791E-2</v>
      </c>
      <c r="S310" s="17">
        <v>4.8924448119787099E-2</v>
      </c>
      <c r="T310" s="17">
        <v>0.172910693218887</v>
      </c>
      <c r="U310" s="17">
        <v>0.125636360322012</v>
      </c>
      <c r="V310" s="17">
        <v>0.120984604804802</v>
      </c>
      <c r="W310" s="17"/>
      <c r="X310" s="17">
        <v>7.0415685422029806E-2</v>
      </c>
      <c r="Y310" s="17">
        <v>0.105166831875005</v>
      </c>
    </row>
    <row r="311" spans="2:25" x14ac:dyDescent="0.35">
      <c r="B311" t="s">
        <v>88</v>
      </c>
      <c r="C311" s="17">
        <v>1.8795865715509501E-2</v>
      </c>
      <c r="D311" s="17">
        <v>1.7642898970869399E-2</v>
      </c>
      <c r="E311" s="17">
        <v>1.99564792738707E-2</v>
      </c>
      <c r="F311" s="17"/>
      <c r="G311" s="17">
        <v>2.946909365859E-2</v>
      </c>
      <c r="H311" s="17">
        <v>1.70286154152351E-2</v>
      </c>
      <c r="I311" s="17">
        <v>2.2362605893379701E-2</v>
      </c>
      <c r="J311" s="17">
        <v>1.1392580039493099E-2</v>
      </c>
      <c r="K311" s="17">
        <v>1.6863566667254699E-2</v>
      </c>
      <c r="L311" s="17">
        <v>1.9913053754975499E-2</v>
      </c>
      <c r="M311" s="17"/>
      <c r="N311" s="17">
        <v>1.17759698216038E-2</v>
      </c>
      <c r="O311" s="17">
        <v>1.29400702934983E-2</v>
      </c>
      <c r="P311" s="17">
        <v>1.0019974371134501E-2</v>
      </c>
      <c r="Q311" s="17">
        <v>2.5989553483540501E-2</v>
      </c>
      <c r="R311" s="17">
        <v>1.4378104683554299E-2</v>
      </c>
      <c r="S311" s="17">
        <v>1.1524337330562901E-2</v>
      </c>
      <c r="T311" s="17">
        <v>2.7828462255500602E-2</v>
      </c>
      <c r="U311" s="17">
        <v>2.2320286034348401E-2</v>
      </c>
      <c r="V311" s="17">
        <v>2.7056999148608301E-2</v>
      </c>
      <c r="W311" s="17"/>
      <c r="X311" s="17">
        <v>1.5139243045550199E-2</v>
      </c>
      <c r="Y311" s="17">
        <v>2.0819318298914299E-2</v>
      </c>
    </row>
    <row r="312" spans="2:25" x14ac:dyDescent="0.35">
      <c r="B312" t="s">
        <v>89</v>
      </c>
      <c r="C312" s="17">
        <v>1.11184809811961E-2</v>
      </c>
      <c r="D312" s="17">
        <v>8.9915749647112905E-3</v>
      </c>
      <c r="E312" s="17">
        <v>1.31652411788689E-2</v>
      </c>
      <c r="F312" s="17"/>
      <c r="G312" s="17">
        <v>3.1146603984180399E-3</v>
      </c>
      <c r="H312" s="17">
        <v>9.9260983763586799E-4</v>
      </c>
      <c r="I312" s="17">
        <v>3.3931598582066899E-3</v>
      </c>
      <c r="J312" s="17">
        <v>9.4023200643801891E-3</v>
      </c>
      <c r="K312" s="17">
        <v>2.2643654572058001E-2</v>
      </c>
      <c r="L312" s="17">
        <v>1.8633512361469502E-2</v>
      </c>
      <c r="M312" s="17"/>
      <c r="N312" s="17">
        <v>0</v>
      </c>
      <c r="O312" s="17">
        <v>1.9399226367455301E-2</v>
      </c>
      <c r="P312" s="17">
        <v>9.0161834077126697E-3</v>
      </c>
      <c r="Q312" s="17">
        <v>2.4918207627702801E-2</v>
      </c>
      <c r="R312" s="17">
        <v>4.8789990303024604E-3</v>
      </c>
      <c r="S312" s="17">
        <v>4.9784923195808203E-3</v>
      </c>
      <c r="T312" s="17">
        <v>1.24444989577063E-2</v>
      </c>
      <c r="U312" s="17">
        <v>1.2947171043105599E-2</v>
      </c>
      <c r="V312" s="17">
        <v>6.7458241528766099E-3</v>
      </c>
      <c r="W312" s="17"/>
      <c r="X312" s="17">
        <v>4.0256423966228E-3</v>
      </c>
      <c r="Y312" s="17">
        <v>1.50434204275152E-2</v>
      </c>
    </row>
    <row r="313" spans="2:25" x14ac:dyDescent="0.35">
      <c r="B313" t="s">
        <v>69</v>
      </c>
      <c r="C313" s="17">
        <v>1.83326737074277E-2</v>
      </c>
      <c r="D313" s="17">
        <v>1.2316486907284501E-2</v>
      </c>
      <c r="E313" s="17">
        <v>2.40696720949099E-2</v>
      </c>
      <c r="F313" s="17"/>
      <c r="G313" s="17">
        <v>7.4438331457633896E-3</v>
      </c>
      <c r="H313" s="17">
        <v>1.04678548813623E-2</v>
      </c>
      <c r="I313" s="17">
        <v>1.54802338721595E-2</v>
      </c>
      <c r="J313" s="17">
        <v>1.74534083058994E-2</v>
      </c>
      <c r="K313" s="17">
        <v>2.32911001304878E-2</v>
      </c>
      <c r="L313" s="17">
        <v>2.6207592740505201E-2</v>
      </c>
      <c r="M313" s="17"/>
      <c r="N313" s="17">
        <v>8.8361158392699299E-3</v>
      </c>
      <c r="O313" s="17">
        <v>1.34673881221547E-2</v>
      </c>
      <c r="P313" s="17">
        <v>2.8237782964379E-2</v>
      </c>
      <c r="Q313" s="17">
        <v>2.1533221130965601E-2</v>
      </c>
      <c r="R313" s="17">
        <v>1.04297891532153E-2</v>
      </c>
      <c r="S313" s="17">
        <v>1.3567764086873E-2</v>
      </c>
      <c r="T313" s="17">
        <v>2.565861938267E-2</v>
      </c>
      <c r="U313" s="17">
        <v>1.49331976824399E-2</v>
      </c>
      <c r="V313" s="17">
        <v>1.4886353789413999E-2</v>
      </c>
      <c r="W313" s="17"/>
      <c r="X313" s="17">
        <v>9.0309008507123492E-3</v>
      </c>
      <c r="Y313" s="17">
        <v>2.34799634378648E-2</v>
      </c>
    </row>
    <row r="314" spans="2:25" x14ac:dyDescent="0.35">
      <c r="B314" t="s">
        <v>90</v>
      </c>
      <c r="C314" s="17">
        <v>0.85896578952664604</v>
      </c>
      <c r="D314" s="17">
        <v>0.85866426004875596</v>
      </c>
      <c r="E314" s="17">
        <v>0.85902359039852705</v>
      </c>
      <c r="F314" s="17"/>
      <c r="G314" s="17">
        <v>0.87860736092035796</v>
      </c>
      <c r="H314" s="17">
        <v>0.87491735560022499</v>
      </c>
      <c r="I314" s="17">
        <v>0.87685833091440502</v>
      </c>
      <c r="J314" s="17">
        <v>0.86724445662650496</v>
      </c>
      <c r="K314" s="17">
        <v>0.85477383507800297</v>
      </c>
      <c r="L314" s="17">
        <v>0.82783794321243298</v>
      </c>
      <c r="M314" s="17"/>
      <c r="N314" s="17">
        <v>0.93142100502736302</v>
      </c>
      <c r="O314" s="17">
        <v>0.86761843356586299</v>
      </c>
      <c r="P314" s="17">
        <v>0.88757065464866702</v>
      </c>
      <c r="Q314" s="17">
        <v>0.84564796240025197</v>
      </c>
      <c r="R314" s="17">
        <v>0.90924815745713705</v>
      </c>
      <c r="S314" s="17">
        <v>0.92100495814319605</v>
      </c>
      <c r="T314" s="17">
        <v>0.76115772618523603</v>
      </c>
      <c r="U314" s="17">
        <v>0.82416298491809403</v>
      </c>
      <c r="V314" s="17">
        <v>0.83032621810429896</v>
      </c>
      <c r="W314" s="17"/>
      <c r="X314" s="17">
        <v>0.90138852828508498</v>
      </c>
      <c r="Y314" s="17">
        <v>0.83549046596070098</v>
      </c>
    </row>
    <row r="315" spans="2:25" x14ac:dyDescent="0.35">
      <c r="B315" t="s">
        <v>91</v>
      </c>
      <c r="C315" s="17">
        <v>2.9914346696705601E-2</v>
      </c>
      <c r="D315" s="17">
        <v>2.6634473935580699E-2</v>
      </c>
      <c r="E315" s="17">
        <v>3.3121720452739603E-2</v>
      </c>
      <c r="F315" s="17"/>
      <c r="G315" s="17">
        <v>3.2583754057008002E-2</v>
      </c>
      <c r="H315" s="17">
        <v>1.8021225252871E-2</v>
      </c>
      <c r="I315" s="17">
        <v>2.5755765751586401E-2</v>
      </c>
      <c r="J315" s="17">
        <v>2.07949001038733E-2</v>
      </c>
      <c r="K315" s="17">
        <v>3.9507221239312697E-2</v>
      </c>
      <c r="L315" s="17">
        <v>3.8546566116444997E-2</v>
      </c>
      <c r="M315" s="17"/>
      <c r="N315" s="17">
        <v>1.17759698216038E-2</v>
      </c>
      <c r="O315" s="17">
        <v>3.2339296660953601E-2</v>
      </c>
      <c r="P315" s="17">
        <v>1.90361577788472E-2</v>
      </c>
      <c r="Q315" s="17">
        <v>5.0907761111243302E-2</v>
      </c>
      <c r="R315" s="17">
        <v>1.9257103713856801E-2</v>
      </c>
      <c r="S315" s="17">
        <v>1.65028296501438E-2</v>
      </c>
      <c r="T315" s="17">
        <v>4.02729612132069E-2</v>
      </c>
      <c r="U315" s="17">
        <v>3.5267457077453997E-2</v>
      </c>
      <c r="V315" s="17">
        <v>3.3802823301484902E-2</v>
      </c>
      <c r="W315" s="17"/>
      <c r="X315" s="17">
        <v>1.9164885442172999E-2</v>
      </c>
      <c r="Y315" s="17">
        <v>3.5862738726429498E-2</v>
      </c>
    </row>
    <row r="316" spans="2:25" x14ac:dyDescent="0.35">
      <c r="B316" t="s">
        <v>92</v>
      </c>
      <c r="C316" s="17">
        <v>0.82905144282994103</v>
      </c>
      <c r="D316" s="17">
        <v>0.83202978611317502</v>
      </c>
      <c r="E316" s="17">
        <v>0.82590186994578796</v>
      </c>
      <c r="F316" s="17"/>
      <c r="G316" s="17">
        <v>0.84602360686334999</v>
      </c>
      <c r="H316" s="17">
        <v>0.85689613034735401</v>
      </c>
      <c r="I316" s="17">
        <v>0.85110256516281901</v>
      </c>
      <c r="J316" s="17">
        <v>0.84644955652263099</v>
      </c>
      <c r="K316" s="17">
        <v>0.81526661383869004</v>
      </c>
      <c r="L316" s="17">
        <v>0.78929137709598796</v>
      </c>
      <c r="M316" s="17"/>
      <c r="N316" s="17">
        <v>0.91964503520575902</v>
      </c>
      <c r="O316" s="17">
        <v>0.83527913690490896</v>
      </c>
      <c r="P316" s="17">
        <v>0.86853449686981998</v>
      </c>
      <c r="Q316" s="17">
        <v>0.79474020128900902</v>
      </c>
      <c r="R316" s="17">
        <v>0.88999105374328003</v>
      </c>
      <c r="S316" s="17">
        <v>0.904502128493053</v>
      </c>
      <c r="T316" s="17">
        <v>0.72088476497202902</v>
      </c>
      <c r="U316" s="17">
        <v>0.78889552784063999</v>
      </c>
      <c r="V316" s="17">
        <v>0.79652339480281398</v>
      </c>
      <c r="W316" s="17"/>
      <c r="X316" s="17">
        <v>0.88222364284291199</v>
      </c>
      <c r="Y316" s="17">
        <v>0.799627727234271</v>
      </c>
    </row>
    <row r="317" spans="2:25" x14ac:dyDescent="0.35">
      <c r="C317" s="17"/>
      <c r="D317" s="17"/>
      <c r="E317" s="17"/>
      <c r="F317" s="17"/>
      <c r="G317" s="17"/>
      <c r="H317" s="17"/>
      <c r="I317" s="17"/>
      <c r="J317" s="17"/>
      <c r="K317" s="17"/>
      <c r="L317" s="17"/>
      <c r="M317" s="17"/>
      <c r="N317" s="17"/>
      <c r="O317" s="17"/>
      <c r="P317" s="17"/>
      <c r="Q317" s="17"/>
      <c r="R317" s="17"/>
      <c r="S317" s="17"/>
      <c r="T317" s="17"/>
      <c r="U317" s="17"/>
      <c r="V317" s="17"/>
      <c r="W317" s="17"/>
      <c r="X317" s="17"/>
      <c r="Y317" s="17"/>
    </row>
    <row r="318" spans="2:25" x14ac:dyDescent="0.35">
      <c r="B318" s="6" t="s">
        <v>191</v>
      </c>
      <c r="C318" s="17"/>
      <c r="D318" s="17"/>
      <c r="E318" s="17"/>
      <c r="F318" s="17"/>
      <c r="G318" s="17"/>
      <c r="H318" s="17"/>
      <c r="I318" s="17"/>
      <c r="J318" s="17"/>
      <c r="K318" s="17"/>
      <c r="L318" s="17"/>
      <c r="M318" s="17"/>
      <c r="N318" s="17"/>
      <c r="O318" s="17"/>
      <c r="P318" s="17"/>
      <c r="Q318" s="17"/>
      <c r="R318" s="17"/>
      <c r="S318" s="17"/>
      <c r="T318" s="17"/>
      <c r="U318" s="17"/>
      <c r="V318" s="17"/>
      <c r="W318" s="17"/>
      <c r="X318" s="17"/>
      <c r="Y318" s="17"/>
    </row>
    <row r="319" spans="2:25" x14ac:dyDescent="0.35">
      <c r="B319" s="24" t="s">
        <v>50</v>
      </c>
      <c r="C319" s="17"/>
      <c r="D319" s="17"/>
      <c r="E319" s="17"/>
      <c r="F319" s="17"/>
      <c r="G319" s="17"/>
      <c r="H319" s="17"/>
      <c r="I319" s="17"/>
      <c r="J319" s="17"/>
      <c r="K319" s="17"/>
      <c r="L319" s="17"/>
      <c r="M319" s="17"/>
      <c r="N319" s="17"/>
      <c r="O319" s="17"/>
      <c r="P319" s="17"/>
      <c r="Q319" s="17"/>
      <c r="R319" s="17"/>
      <c r="S319" s="17"/>
      <c r="T319" s="17"/>
      <c r="U319" s="17"/>
      <c r="V319" s="17"/>
      <c r="W319" s="17"/>
      <c r="X319" s="17"/>
      <c r="Y319" s="17"/>
    </row>
    <row r="320" spans="2:25" x14ac:dyDescent="0.35">
      <c r="B320" t="s">
        <v>85</v>
      </c>
      <c r="C320" s="17">
        <v>0.35833591829217698</v>
      </c>
      <c r="D320" s="17">
        <v>0.35886286378168603</v>
      </c>
      <c r="E320" s="17">
        <v>0.35767528990976799</v>
      </c>
      <c r="F320" s="17"/>
      <c r="G320" s="17">
        <v>0.50395877734606498</v>
      </c>
      <c r="H320" s="17">
        <v>0.44137673035740899</v>
      </c>
      <c r="I320" s="17">
        <v>0.41450293938881699</v>
      </c>
      <c r="J320" s="17">
        <v>0.374544236031917</v>
      </c>
      <c r="K320" s="17">
        <v>0.31477506669022898</v>
      </c>
      <c r="L320" s="17">
        <v>0.23655210539143801</v>
      </c>
      <c r="M320" s="17"/>
      <c r="N320" s="17">
        <v>0.38446891423264501</v>
      </c>
      <c r="O320" s="17">
        <v>0.33000698108071203</v>
      </c>
      <c r="P320" s="17">
        <v>0.29531660404138899</v>
      </c>
      <c r="Q320" s="17">
        <v>0.401280664929482</v>
      </c>
      <c r="R320" s="17">
        <v>0.29819587070341602</v>
      </c>
      <c r="S320" s="17">
        <v>0.35602226042733898</v>
      </c>
      <c r="T320" s="17">
        <v>0.48052585158625299</v>
      </c>
      <c r="U320" s="17">
        <v>0.33354856869169303</v>
      </c>
      <c r="V320" s="17">
        <v>0.32173509427650598</v>
      </c>
      <c r="W320" s="17"/>
      <c r="X320" s="17">
        <v>0.40952609991768901</v>
      </c>
      <c r="Y320" s="17">
        <v>0.33000898532584699</v>
      </c>
    </row>
    <row r="321" spans="2:25" x14ac:dyDescent="0.35">
      <c r="B321" t="s">
        <v>86</v>
      </c>
      <c r="C321" s="17">
        <v>0.31964156769908603</v>
      </c>
      <c r="D321" s="17">
        <v>0.33311813797184098</v>
      </c>
      <c r="E321" s="17">
        <v>0.30648342195452799</v>
      </c>
      <c r="F321" s="17"/>
      <c r="G321" s="17">
        <v>0.31718806855215198</v>
      </c>
      <c r="H321" s="17">
        <v>0.36332054601868002</v>
      </c>
      <c r="I321" s="17">
        <v>0.35125640248134898</v>
      </c>
      <c r="J321" s="17">
        <v>0.33358951342292997</v>
      </c>
      <c r="K321" s="17">
        <v>0.30112668629700301</v>
      </c>
      <c r="L321" s="17">
        <v>0.277073448316285</v>
      </c>
      <c r="M321" s="17"/>
      <c r="N321" s="17">
        <v>0.33759963690163403</v>
      </c>
      <c r="O321" s="17">
        <v>0.30180136102634902</v>
      </c>
      <c r="P321" s="17">
        <v>0.28683713321239002</v>
      </c>
      <c r="Q321" s="17">
        <v>0.31257900690468299</v>
      </c>
      <c r="R321" s="17">
        <v>0.38701876649150002</v>
      </c>
      <c r="S321" s="17">
        <v>0.29836098573786302</v>
      </c>
      <c r="T321" s="17">
        <v>0.281644734463532</v>
      </c>
      <c r="U321" s="17">
        <v>0.35610705907259599</v>
      </c>
      <c r="V321" s="17">
        <v>0.30737240566881402</v>
      </c>
      <c r="W321" s="17"/>
      <c r="X321" s="17">
        <v>0.32271064425692603</v>
      </c>
      <c r="Y321" s="17">
        <v>0.31794324346655101</v>
      </c>
    </row>
    <row r="322" spans="2:25" x14ac:dyDescent="0.35">
      <c r="B322" t="s">
        <v>181</v>
      </c>
      <c r="C322" s="17">
        <v>0.14970855076496201</v>
      </c>
      <c r="D322" s="17">
        <v>0.154683009312782</v>
      </c>
      <c r="E322" s="17">
        <v>0.14528636128814301</v>
      </c>
      <c r="F322" s="17"/>
      <c r="G322" s="17">
        <v>0.12512679843337601</v>
      </c>
      <c r="H322" s="17">
        <v>0.13423825528396099</v>
      </c>
      <c r="I322" s="17">
        <v>0.13789563429874199</v>
      </c>
      <c r="J322" s="17">
        <v>0.150690076642745</v>
      </c>
      <c r="K322" s="17">
        <v>0.15211859574332001</v>
      </c>
      <c r="L322" s="17">
        <v>0.17333511656676301</v>
      </c>
      <c r="M322" s="17"/>
      <c r="N322" s="17">
        <v>0.15520492697107</v>
      </c>
      <c r="O322" s="17">
        <v>0.123072961219007</v>
      </c>
      <c r="P322" s="17">
        <v>0.15429563199757501</v>
      </c>
      <c r="Q322" s="17">
        <v>0.126032448308737</v>
      </c>
      <c r="R322" s="17">
        <v>0.153163280691263</v>
      </c>
      <c r="S322" s="17">
        <v>0.13495640380967699</v>
      </c>
      <c r="T322" s="17">
        <v>0.161738086228018</v>
      </c>
      <c r="U322" s="17">
        <v>0.168925050152505</v>
      </c>
      <c r="V322" s="17">
        <v>0.15756806224987799</v>
      </c>
      <c r="W322" s="17"/>
      <c r="X322" s="17">
        <v>0.13980458970140699</v>
      </c>
      <c r="Y322" s="17">
        <v>0.15518907129135701</v>
      </c>
    </row>
    <row r="323" spans="2:25" x14ac:dyDescent="0.35">
      <c r="B323" t="s">
        <v>88</v>
      </c>
      <c r="C323" s="17">
        <v>6.9459996735899504E-2</v>
      </c>
      <c r="D323" s="17">
        <v>6.4834852838800805E-2</v>
      </c>
      <c r="E323" s="17">
        <v>7.4092047929284893E-2</v>
      </c>
      <c r="F323" s="17"/>
      <c r="G323" s="17">
        <v>3.8901843357925903E-2</v>
      </c>
      <c r="H323" s="17">
        <v>4.23447616936143E-2</v>
      </c>
      <c r="I323" s="17">
        <v>5.32421372342156E-2</v>
      </c>
      <c r="J323" s="17">
        <v>6.7448429498212101E-2</v>
      </c>
      <c r="K323" s="17">
        <v>8.6112499762227401E-2</v>
      </c>
      <c r="L323" s="17">
        <v>9.7700517508118104E-2</v>
      </c>
      <c r="M323" s="17"/>
      <c r="N323" s="17">
        <v>4.5939564237038003E-2</v>
      </c>
      <c r="O323" s="17">
        <v>6.7778923650896203E-2</v>
      </c>
      <c r="P323" s="17">
        <v>9.5494621190788095E-2</v>
      </c>
      <c r="Q323" s="17">
        <v>6.4635876453195101E-2</v>
      </c>
      <c r="R323" s="17">
        <v>7.7864395586625501E-2</v>
      </c>
      <c r="S323" s="17">
        <v>6.3267642839809596E-2</v>
      </c>
      <c r="T323" s="17">
        <v>4.8027971195814097E-2</v>
      </c>
      <c r="U323" s="17">
        <v>5.4797719299359997E-2</v>
      </c>
      <c r="V323" s="17">
        <v>0.114109166614736</v>
      </c>
      <c r="W323" s="17"/>
      <c r="X323" s="17">
        <v>6.2384770630711003E-2</v>
      </c>
      <c r="Y323" s="17">
        <v>7.3375190025688999E-2</v>
      </c>
    </row>
    <row r="324" spans="2:25" x14ac:dyDescent="0.35">
      <c r="B324" t="s">
        <v>89</v>
      </c>
      <c r="C324" s="17">
        <v>6.2717244481559201E-2</v>
      </c>
      <c r="D324" s="17">
        <v>5.2870522817535903E-2</v>
      </c>
      <c r="E324" s="17">
        <v>7.2237911566511895E-2</v>
      </c>
      <c r="F324" s="17"/>
      <c r="G324" s="17">
        <v>6.3502677418969004E-3</v>
      </c>
      <c r="H324" s="17">
        <v>9.0635059877511494E-3</v>
      </c>
      <c r="I324" s="17">
        <v>1.7686980167221499E-2</v>
      </c>
      <c r="J324" s="17">
        <v>3.7989501657154798E-2</v>
      </c>
      <c r="K324" s="17">
        <v>9.9659445913209702E-2</v>
      </c>
      <c r="L324" s="17">
        <v>0.13692262718442499</v>
      </c>
      <c r="M324" s="17"/>
      <c r="N324" s="17">
        <v>4.6520973448204203E-2</v>
      </c>
      <c r="O324" s="17">
        <v>0.12661535093503001</v>
      </c>
      <c r="P324" s="17">
        <v>0.101125010019463</v>
      </c>
      <c r="Q324" s="17">
        <v>7.2219242053238097E-2</v>
      </c>
      <c r="R324" s="17">
        <v>4.9949513621473401E-2</v>
      </c>
      <c r="S324" s="17">
        <v>8.8619300036070298E-2</v>
      </c>
      <c r="T324" s="17">
        <v>1.8899867549870199E-2</v>
      </c>
      <c r="U324" s="17">
        <v>3.2605844462067303E-2</v>
      </c>
      <c r="V324" s="17">
        <v>7.20170453511398E-2</v>
      </c>
      <c r="W324" s="17"/>
      <c r="X324" s="17">
        <v>4.2147429141411501E-2</v>
      </c>
      <c r="Y324" s="17">
        <v>7.4099891734753703E-2</v>
      </c>
    </row>
    <row r="325" spans="2:25" x14ac:dyDescent="0.35">
      <c r="B325" t="s">
        <v>69</v>
      </c>
      <c r="C325" s="17">
        <v>4.0136722026315297E-2</v>
      </c>
      <c r="D325" s="17">
        <v>3.5630613277354499E-2</v>
      </c>
      <c r="E325" s="17">
        <v>4.4224967351764698E-2</v>
      </c>
      <c r="F325" s="17"/>
      <c r="G325" s="17">
        <v>8.4742445685844301E-3</v>
      </c>
      <c r="H325" s="17">
        <v>9.6562006585843001E-3</v>
      </c>
      <c r="I325" s="17">
        <v>2.5415906429654401E-2</v>
      </c>
      <c r="J325" s="17">
        <v>3.57382427470401E-2</v>
      </c>
      <c r="K325" s="17">
        <v>4.6207705594010898E-2</v>
      </c>
      <c r="L325" s="17">
        <v>7.8416185032971694E-2</v>
      </c>
      <c r="M325" s="17"/>
      <c r="N325" s="17">
        <v>3.02659842094091E-2</v>
      </c>
      <c r="O325" s="17">
        <v>5.0724422088006399E-2</v>
      </c>
      <c r="P325" s="17">
        <v>6.6930999538394501E-2</v>
      </c>
      <c r="Q325" s="17">
        <v>2.3252761350664598E-2</v>
      </c>
      <c r="R325" s="17">
        <v>3.3808172905722501E-2</v>
      </c>
      <c r="S325" s="17">
        <v>5.8773407149239898E-2</v>
      </c>
      <c r="T325" s="17">
        <v>9.1634889765135601E-3</v>
      </c>
      <c r="U325" s="17">
        <v>5.40157583217784E-2</v>
      </c>
      <c r="V325" s="17">
        <v>2.7198225838926698E-2</v>
      </c>
      <c r="W325" s="17"/>
      <c r="X325" s="17">
        <v>2.3426466351855399E-2</v>
      </c>
      <c r="Y325" s="17">
        <v>4.9383618155802098E-2</v>
      </c>
    </row>
    <row r="326" spans="2:25" x14ac:dyDescent="0.35">
      <c r="B326" t="s">
        <v>90</v>
      </c>
      <c r="C326" s="17">
        <v>0.67797748599126395</v>
      </c>
      <c r="D326" s="17">
        <v>0.69198100175352695</v>
      </c>
      <c r="E326" s="17">
        <v>0.66415871186429498</v>
      </c>
      <c r="F326" s="17"/>
      <c r="G326" s="17">
        <v>0.82114684589821696</v>
      </c>
      <c r="H326" s="17">
        <v>0.80469727637608901</v>
      </c>
      <c r="I326" s="17">
        <v>0.76575934187016603</v>
      </c>
      <c r="J326" s="17">
        <v>0.70813374945484697</v>
      </c>
      <c r="K326" s="17">
        <v>0.61590175298723104</v>
      </c>
      <c r="L326" s="17">
        <v>0.513625553707722</v>
      </c>
      <c r="M326" s="17"/>
      <c r="N326" s="17">
        <v>0.72206855113427904</v>
      </c>
      <c r="O326" s="17">
        <v>0.63180834210706005</v>
      </c>
      <c r="P326" s="17">
        <v>0.58215373725377795</v>
      </c>
      <c r="Q326" s="17">
        <v>0.71385967183416499</v>
      </c>
      <c r="R326" s="17">
        <v>0.68521463719491604</v>
      </c>
      <c r="S326" s="17">
        <v>0.65438324616520305</v>
      </c>
      <c r="T326" s="17">
        <v>0.76217058604978505</v>
      </c>
      <c r="U326" s="17">
        <v>0.68965562776428901</v>
      </c>
      <c r="V326" s="17">
        <v>0.62910749994532</v>
      </c>
      <c r="W326" s="17"/>
      <c r="X326" s="17">
        <v>0.73223674417461504</v>
      </c>
      <c r="Y326" s="17">
        <v>0.647952228792398</v>
      </c>
    </row>
    <row r="327" spans="2:25" x14ac:dyDescent="0.35">
      <c r="B327" t="s">
        <v>91</v>
      </c>
      <c r="C327" s="17">
        <v>0.132177241217459</v>
      </c>
      <c r="D327" s="17">
        <v>0.117705375656337</v>
      </c>
      <c r="E327" s="17">
        <v>0.146329959495797</v>
      </c>
      <c r="F327" s="17"/>
      <c r="G327" s="17">
        <v>4.52521110998228E-2</v>
      </c>
      <c r="H327" s="17">
        <v>5.1408267681365402E-2</v>
      </c>
      <c r="I327" s="17">
        <v>7.0929117401437106E-2</v>
      </c>
      <c r="J327" s="17">
        <v>0.105437931155367</v>
      </c>
      <c r="K327" s="17">
        <v>0.18577194567543701</v>
      </c>
      <c r="L327" s="17">
        <v>0.234623144692543</v>
      </c>
      <c r="M327" s="17"/>
      <c r="N327" s="17">
        <v>9.2460537685242206E-2</v>
      </c>
      <c r="O327" s="17">
        <v>0.19439427458592601</v>
      </c>
      <c r="P327" s="17">
        <v>0.196619631210252</v>
      </c>
      <c r="Q327" s="17">
        <v>0.136855118506433</v>
      </c>
      <c r="R327" s="17">
        <v>0.12781390920809901</v>
      </c>
      <c r="S327" s="17">
        <v>0.15188694287588</v>
      </c>
      <c r="T327" s="17">
        <v>6.6927838745684295E-2</v>
      </c>
      <c r="U327" s="17">
        <v>8.7403563761427203E-2</v>
      </c>
      <c r="V327" s="17">
        <v>0.186126211965876</v>
      </c>
      <c r="W327" s="17"/>
      <c r="X327" s="17">
        <v>0.104532199772123</v>
      </c>
      <c r="Y327" s="17">
        <v>0.14747508176044299</v>
      </c>
    </row>
    <row r="328" spans="2:25" x14ac:dyDescent="0.35">
      <c r="B328" t="s">
        <v>92</v>
      </c>
      <c r="C328" s="17">
        <v>0.54580024477380495</v>
      </c>
      <c r="D328" s="17">
        <v>0.57427562609718996</v>
      </c>
      <c r="E328" s="17">
        <v>0.51782875236849801</v>
      </c>
      <c r="F328" s="17"/>
      <c r="G328" s="17">
        <v>0.77589473479839399</v>
      </c>
      <c r="H328" s="17">
        <v>0.75328900869472404</v>
      </c>
      <c r="I328" s="17">
        <v>0.694830224468729</v>
      </c>
      <c r="J328" s="17">
        <v>0.60269581829948005</v>
      </c>
      <c r="K328" s="17">
        <v>0.43012980731179401</v>
      </c>
      <c r="L328" s="17">
        <v>0.27900240901517898</v>
      </c>
      <c r="M328" s="17"/>
      <c r="N328" s="17">
        <v>0.62960801344903605</v>
      </c>
      <c r="O328" s="17">
        <v>0.43741406752113499</v>
      </c>
      <c r="P328" s="17">
        <v>0.385534106043527</v>
      </c>
      <c r="Q328" s="17">
        <v>0.57700455332773204</v>
      </c>
      <c r="R328" s="17">
        <v>0.55740072798681695</v>
      </c>
      <c r="S328" s="17">
        <v>0.50249630328932304</v>
      </c>
      <c r="T328" s="17">
        <v>0.69524274730409996</v>
      </c>
      <c r="U328" s="17">
        <v>0.60225206400286202</v>
      </c>
      <c r="V328" s="17">
        <v>0.44298128797944403</v>
      </c>
      <c r="W328" s="17"/>
      <c r="X328" s="17">
        <v>0.62770454440249301</v>
      </c>
      <c r="Y328" s="17">
        <v>0.500477147031956</v>
      </c>
    </row>
    <row r="329" spans="2:25" x14ac:dyDescent="0.35">
      <c r="C329" s="17"/>
      <c r="D329" s="17"/>
      <c r="E329" s="17"/>
      <c r="F329" s="17"/>
      <c r="G329" s="17"/>
      <c r="H329" s="17"/>
      <c r="I329" s="17"/>
      <c r="J329" s="17"/>
      <c r="K329" s="17"/>
      <c r="L329" s="17"/>
      <c r="M329" s="17"/>
      <c r="N329" s="17"/>
      <c r="O329" s="17"/>
      <c r="P329" s="17"/>
      <c r="Q329" s="17"/>
      <c r="R329" s="17"/>
      <c r="S329" s="17"/>
      <c r="T329" s="17"/>
      <c r="U329" s="17"/>
      <c r="V329" s="17"/>
      <c r="W329" s="17"/>
      <c r="X329" s="17"/>
      <c r="Y329" s="17"/>
    </row>
    <row r="330" spans="2:25" x14ac:dyDescent="0.35">
      <c r="B330" s="6" t="s">
        <v>192</v>
      </c>
      <c r="C330" s="17"/>
      <c r="D330" s="17"/>
      <c r="E330" s="17"/>
      <c r="F330" s="17"/>
      <c r="G330" s="17"/>
      <c r="H330" s="17"/>
      <c r="I330" s="17"/>
      <c r="J330" s="17"/>
      <c r="K330" s="17"/>
      <c r="L330" s="17"/>
      <c r="M330" s="17"/>
      <c r="N330" s="17"/>
      <c r="O330" s="17"/>
      <c r="P330" s="17"/>
      <c r="Q330" s="17"/>
      <c r="R330" s="17"/>
      <c r="S330" s="17"/>
      <c r="T330" s="17"/>
      <c r="U330" s="17"/>
      <c r="V330" s="17"/>
      <c r="W330" s="17"/>
      <c r="X330" s="17"/>
      <c r="Y330" s="17"/>
    </row>
    <row r="331" spans="2:25" x14ac:dyDescent="0.35">
      <c r="B331" s="24" t="s">
        <v>50</v>
      </c>
      <c r="C331" s="17"/>
      <c r="D331" s="17"/>
      <c r="E331" s="17"/>
      <c r="F331" s="17"/>
      <c r="G331" s="17"/>
      <c r="H331" s="17"/>
      <c r="I331" s="17"/>
      <c r="J331" s="17"/>
      <c r="K331" s="17"/>
      <c r="L331" s="17"/>
      <c r="M331" s="17"/>
      <c r="N331" s="17"/>
      <c r="O331" s="17"/>
      <c r="P331" s="17"/>
      <c r="Q331" s="17"/>
      <c r="R331" s="17"/>
      <c r="S331" s="17"/>
      <c r="T331" s="17"/>
      <c r="U331" s="17"/>
      <c r="V331" s="17"/>
      <c r="W331" s="17"/>
      <c r="X331" s="17"/>
      <c r="Y331" s="17"/>
    </row>
    <row r="332" spans="2:25" x14ac:dyDescent="0.35">
      <c r="B332" t="s">
        <v>85</v>
      </c>
      <c r="C332" s="17">
        <v>0.100653077551854</v>
      </c>
      <c r="D332" s="17">
        <v>0.119794497855395</v>
      </c>
      <c r="E332" s="17">
        <v>8.2512810149294596E-2</v>
      </c>
      <c r="F332" s="17"/>
      <c r="G332" s="17">
        <v>0.15161256351937999</v>
      </c>
      <c r="H332" s="17">
        <v>0.151119288553651</v>
      </c>
      <c r="I332" s="17">
        <v>0.14360784538278001</v>
      </c>
      <c r="J332" s="17">
        <v>9.8116732451609401E-2</v>
      </c>
      <c r="K332" s="17">
        <v>7.5231642331338403E-2</v>
      </c>
      <c r="L332" s="17">
        <v>4.27260705822868E-2</v>
      </c>
      <c r="M332" s="17"/>
      <c r="N332" s="17">
        <v>0.151407527361513</v>
      </c>
      <c r="O332" s="17">
        <v>9.0434160828738203E-2</v>
      </c>
      <c r="P332" s="17">
        <v>9.3965965325529005E-2</v>
      </c>
      <c r="Q332" s="17">
        <v>0.115208999403301</v>
      </c>
      <c r="R332" s="17">
        <v>0.105486819272385</v>
      </c>
      <c r="S332" s="17">
        <v>0.112732251202618</v>
      </c>
      <c r="T332" s="17">
        <v>6.8740594700395105E-2</v>
      </c>
      <c r="U332" s="17">
        <v>9.8936172633786901E-2</v>
      </c>
      <c r="V332" s="17">
        <v>0.101787838056858</v>
      </c>
      <c r="W332" s="17"/>
      <c r="X332" s="17">
        <v>0.14197297721650901</v>
      </c>
      <c r="Y332" s="17">
        <v>7.7788028223863007E-2</v>
      </c>
    </row>
    <row r="333" spans="2:25" x14ac:dyDescent="0.35">
      <c r="B333" t="s">
        <v>86</v>
      </c>
      <c r="C333" s="17">
        <v>0.18755705374832499</v>
      </c>
      <c r="D333" s="17">
        <v>0.21466611412549699</v>
      </c>
      <c r="E333" s="17">
        <v>0.16189706244677099</v>
      </c>
      <c r="F333" s="17"/>
      <c r="G333" s="17">
        <v>0.28269983002528898</v>
      </c>
      <c r="H333" s="17">
        <v>0.26390647413643198</v>
      </c>
      <c r="I333" s="17">
        <v>0.22648284736798199</v>
      </c>
      <c r="J333" s="17">
        <v>0.182393255611565</v>
      </c>
      <c r="K333" s="17">
        <v>0.15475240042611099</v>
      </c>
      <c r="L333" s="17">
        <v>0.107104549039229</v>
      </c>
      <c r="M333" s="17"/>
      <c r="N333" s="17">
        <v>0.19257490318682899</v>
      </c>
      <c r="O333" s="17">
        <v>0.243941932862455</v>
      </c>
      <c r="P333" s="17">
        <v>0.15326729739498601</v>
      </c>
      <c r="Q333" s="17">
        <v>0.223195133800902</v>
      </c>
      <c r="R333" s="17">
        <v>0.25460547879519602</v>
      </c>
      <c r="S333" s="17">
        <v>0.15679071101432501</v>
      </c>
      <c r="T333" s="17">
        <v>0.129959700725954</v>
      </c>
      <c r="U333" s="17">
        <v>0.203628657522884</v>
      </c>
      <c r="V333" s="17">
        <v>0.16729216853920001</v>
      </c>
      <c r="W333" s="17"/>
      <c r="X333" s="17">
        <v>0.221547025472389</v>
      </c>
      <c r="Y333" s="17">
        <v>0.16874814117992001</v>
      </c>
    </row>
    <row r="334" spans="2:25" x14ac:dyDescent="0.35">
      <c r="B334" t="s">
        <v>181</v>
      </c>
      <c r="C334" s="17">
        <v>0.204886272724842</v>
      </c>
      <c r="D334" s="17">
        <v>0.22009042913985899</v>
      </c>
      <c r="E334" s="17">
        <v>0.190253657492305</v>
      </c>
      <c r="F334" s="17"/>
      <c r="G334" s="17">
        <v>0.22615772507093301</v>
      </c>
      <c r="H334" s="17">
        <v>0.227018717767141</v>
      </c>
      <c r="I334" s="17">
        <v>0.240430469295318</v>
      </c>
      <c r="J334" s="17">
        <v>0.21702912717877301</v>
      </c>
      <c r="K334" s="17">
        <v>0.17078564809333399</v>
      </c>
      <c r="L334" s="17">
        <v>0.17521606103055801</v>
      </c>
      <c r="M334" s="17"/>
      <c r="N334" s="17">
        <v>0.200315086340561</v>
      </c>
      <c r="O334" s="17">
        <v>0.17207139986986</v>
      </c>
      <c r="P334" s="17">
        <v>0.183654454209596</v>
      </c>
      <c r="Q334" s="17">
        <v>0.21259724141657099</v>
      </c>
      <c r="R334" s="17">
        <v>0.228777298192025</v>
      </c>
      <c r="S334" s="17">
        <v>0.189227809180989</v>
      </c>
      <c r="T334" s="17">
        <v>0.21074828501655599</v>
      </c>
      <c r="U334" s="17">
        <v>0.22915978228050199</v>
      </c>
      <c r="V334" s="17">
        <v>0.161682102521191</v>
      </c>
      <c r="W334" s="17"/>
      <c r="X334" s="17">
        <v>0.21663476000437501</v>
      </c>
      <c r="Y334" s="17">
        <v>0.19838505313437901</v>
      </c>
    </row>
    <row r="335" spans="2:25" x14ac:dyDescent="0.35">
      <c r="B335" t="s">
        <v>88</v>
      </c>
      <c r="C335" s="17">
        <v>0.153297590352693</v>
      </c>
      <c r="D335" s="17">
        <v>0.151349970542561</v>
      </c>
      <c r="E335" s="17">
        <v>0.15457759322540801</v>
      </c>
      <c r="F335" s="17"/>
      <c r="G335" s="17">
        <v>0.16737117454237299</v>
      </c>
      <c r="H335" s="17">
        <v>0.16617550954037599</v>
      </c>
      <c r="I335" s="17">
        <v>0.13567878193199201</v>
      </c>
      <c r="J335" s="17">
        <v>0.15519774916941101</v>
      </c>
      <c r="K335" s="17">
        <v>0.15415357460183601</v>
      </c>
      <c r="L335" s="17">
        <v>0.149876352119619</v>
      </c>
      <c r="M335" s="17"/>
      <c r="N335" s="17">
        <v>0.129493640437503</v>
      </c>
      <c r="O335" s="17">
        <v>0.24373103231821899</v>
      </c>
      <c r="P335" s="17">
        <v>0.14981393259216899</v>
      </c>
      <c r="Q335" s="17">
        <v>0.154584962060652</v>
      </c>
      <c r="R335" s="17">
        <v>0.15685025332990801</v>
      </c>
      <c r="S335" s="17">
        <v>0.12888700280607299</v>
      </c>
      <c r="T335" s="17">
        <v>0.189950877888764</v>
      </c>
      <c r="U335" s="17">
        <v>0.104072133231736</v>
      </c>
      <c r="V335" s="17">
        <v>0.209482262104871</v>
      </c>
      <c r="W335" s="17"/>
      <c r="X335" s="17">
        <v>0.154278989760572</v>
      </c>
      <c r="Y335" s="17">
        <v>0.15275451677183399</v>
      </c>
    </row>
    <row r="336" spans="2:25" x14ac:dyDescent="0.35">
      <c r="B336" t="s">
        <v>89</v>
      </c>
      <c r="C336" s="17">
        <v>0.23244379073160901</v>
      </c>
      <c r="D336" s="17">
        <v>0.19388074168279301</v>
      </c>
      <c r="E336" s="17">
        <v>0.26939517785686201</v>
      </c>
      <c r="F336" s="17"/>
      <c r="G336" s="17">
        <v>0.121708348395551</v>
      </c>
      <c r="H336" s="17">
        <v>0.142414033840913</v>
      </c>
      <c r="I336" s="17">
        <v>0.15955528282391801</v>
      </c>
      <c r="J336" s="17">
        <v>0.23445291788928699</v>
      </c>
      <c r="K336" s="17">
        <v>0.29873984644186502</v>
      </c>
      <c r="L336" s="17">
        <v>0.32869413377479001</v>
      </c>
      <c r="M336" s="17"/>
      <c r="N336" s="17">
        <v>0.18987479104952401</v>
      </c>
      <c r="O336" s="17">
        <v>0.211720199725695</v>
      </c>
      <c r="P336" s="17">
        <v>0.29901076426034101</v>
      </c>
      <c r="Q336" s="17">
        <v>0.23533476187233399</v>
      </c>
      <c r="R336" s="17">
        <v>0.16638290888073601</v>
      </c>
      <c r="S336" s="17">
        <v>0.26372999444380002</v>
      </c>
      <c r="T336" s="17">
        <v>0.30370693022383999</v>
      </c>
      <c r="U336" s="17">
        <v>0.111113768025791</v>
      </c>
      <c r="V336" s="17">
        <v>0.30342603887464997</v>
      </c>
      <c r="W336" s="17"/>
      <c r="X336" s="17">
        <v>0.18456502860209301</v>
      </c>
      <c r="Y336" s="17">
        <v>0.25893829499564103</v>
      </c>
    </row>
    <row r="337" spans="2:25" x14ac:dyDescent="0.35">
      <c r="B337" t="s">
        <v>69</v>
      </c>
      <c r="C337" s="17">
        <v>0.121162214890676</v>
      </c>
      <c r="D337" s="17">
        <v>0.100218246653895</v>
      </c>
      <c r="E337" s="17">
        <v>0.14136369882935901</v>
      </c>
      <c r="F337" s="17"/>
      <c r="G337" s="17">
        <v>5.04503584464744E-2</v>
      </c>
      <c r="H337" s="17">
        <v>4.9365976161486601E-2</v>
      </c>
      <c r="I337" s="17">
        <v>9.4244773198010098E-2</v>
      </c>
      <c r="J337" s="17">
        <v>0.11281021769935499</v>
      </c>
      <c r="K337" s="17">
        <v>0.14633688810551601</v>
      </c>
      <c r="L337" s="17">
        <v>0.19638283345351701</v>
      </c>
      <c r="M337" s="17"/>
      <c r="N337" s="17">
        <v>0.136334051624069</v>
      </c>
      <c r="O337" s="17">
        <v>3.8101274395033101E-2</v>
      </c>
      <c r="P337" s="17">
        <v>0.12028758621737901</v>
      </c>
      <c r="Q337" s="17">
        <v>5.9078901446239201E-2</v>
      </c>
      <c r="R337" s="17">
        <v>8.7897241529749301E-2</v>
      </c>
      <c r="S337" s="17">
        <v>0.148632231352195</v>
      </c>
      <c r="T337" s="17">
        <v>9.6893611444491407E-2</v>
      </c>
      <c r="U337" s="17">
        <v>0.25308948630529898</v>
      </c>
      <c r="V337" s="17">
        <v>5.6329589903231003E-2</v>
      </c>
      <c r="W337" s="17"/>
      <c r="X337" s="17">
        <v>8.1001218944061995E-2</v>
      </c>
      <c r="Y337" s="17">
        <v>0.14338596569436299</v>
      </c>
    </row>
    <row r="338" spans="2:25" x14ac:dyDescent="0.35">
      <c r="B338" t="s">
        <v>90</v>
      </c>
      <c r="C338" s="17">
        <v>0.28821013130017897</v>
      </c>
      <c r="D338" s="17">
        <v>0.334460611980892</v>
      </c>
      <c r="E338" s="17">
        <v>0.244409872596066</v>
      </c>
      <c r="F338" s="17"/>
      <c r="G338" s="17">
        <v>0.434312393544669</v>
      </c>
      <c r="H338" s="17">
        <v>0.41502576269008301</v>
      </c>
      <c r="I338" s="17">
        <v>0.37009069275076201</v>
      </c>
      <c r="J338" s="17">
        <v>0.28050998806317501</v>
      </c>
      <c r="K338" s="17">
        <v>0.22998404275744899</v>
      </c>
      <c r="L338" s="17">
        <v>0.149830619621516</v>
      </c>
      <c r="M338" s="17"/>
      <c r="N338" s="17">
        <v>0.34398243054834199</v>
      </c>
      <c r="O338" s="17">
        <v>0.33437609369119298</v>
      </c>
      <c r="P338" s="17">
        <v>0.24723326272051499</v>
      </c>
      <c r="Q338" s="17">
        <v>0.33840413320420298</v>
      </c>
      <c r="R338" s="17">
        <v>0.36009229806758097</v>
      </c>
      <c r="S338" s="17">
        <v>0.269522962216943</v>
      </c>
      <c r="T338" s="17">
        <v>0.19870029542634901</v>
      </c>
      <c r="U338" s="17">
        <v>0.30256483015667102</v>
      </c>
      <c r="V338" s="17">
        <v>0.26908000659605802</v>
      </c>
      <c r="W338" s="17"/>
      <c r="X338" s="17">
        <v>0.363520002688898</v>
      </c>
      <c r="Y338" s="17">
        <v>0.24653616940378301</v>
      </c>
    </row>
    <row r="339" spans="2:25" x14ac:dyDescent="0.35">
      <c r="B339" t="s">
        <v>91</v>
      </c>
      <c r="C339" s="17">
        <v>0.385741381084302</v>
      </c>
      <c r="D339" s="17">
        <v>0.34523071222535401</v>
      </c>
      <c r="E339" s="17">
        <v>0.42397277108226999</v>
      </c>
      <c r="F339" s="17"/>
      <c r="G339" s="17">
        <v>0.28907952293792399</v>
      </c>
      <c r="H339" s="17">
        <v>0.30858954338128902</v>
      </c>
      <c r="I339" s="17">
        <v>0.29523406475591002</v>
      </c>
      <c r="J339" s="17">
        <v>0.389650667058698</v>
      </c>
      <c r="K339" s="17">
        <v>0.45289342104370101</v>
      </c>
      <c r="L339" s="17">
        <v>0.47857048589440898</v>
      </c>
      <c r="M339" s="17"/>
      <c r="N339" s="17">
        <v>0.31936843148702798</v>
      </c>
      <c r="O339" s="17">
        <v>0.45545123204391302</v>
      </c>
      <c r="P339" s="17">
        <v>0.44882469685250997</v>
      </c>
      <c r="Q339" s="17">
        <v>0.38991972393298602</v>
      </c>
      <c r="R339" s="17">
        <v>0.32323316221064402</v>
      </c>
      <c r="S339" s="17">
        <v>0.39261699724987298</v>
      </c>
      <c r="T339" s="17">
        <v>0.49365780811260401</v>
      </c>
      <c r="U339" s="17">
        <v>0.21518590125752801</v>
      </c>
      <c r="V339" s="17">
        <v>0.51290830097952</v>
      </c>
      <c r="W339" s="17"/>
      <c r="X339" s="17">
        <v>0.33884401836266498</v>
      </c>
      <c r="Y339" s="17">
        <v>0.41169281176747602</v>
      </c>
    </row>
    <row r="340" spans="2:25" x14ac:dyDescent="0.35">
      <c r="B340" t="s">
        <v>92</v>
      </c>
      <c r="C340" s="17">
        <v>-9.7531249784122906E-2</v>
      </c>
      <c r="D340" s="17">
        <v>-1.0770100244461799E-2</v>
      </c>
      <c r="E340" s="17">
        <v>-0.17956289848620499</v>
      </c>
      <c r="F340" s="17"/>
      <c r="G340" s="17">
        <v>0.145232870606746</v>
      </c>
      <c r="H340" s="17">
        <v>0.106436219308794</v>
      </c>
      <c r="I340" s="17">
        <v>7.4856627994852196E-2</v>
      </c>
      <c r="J340" s="17">
        <v>-0.109140678995523</v>
      </c>
      <c r="K340" s="17">
        <v>-0.22290937828625099</v>
      </c>
      <c r="L340" s="17">
        <v>-0.32873986627289298</v>
      </c>
      <c r="M340" s="17"/>
      <c r="N340" s="17">
        <v>2.4613999061314801E-2</v>
      </c>
      <c r="O340" s="17">
        <v>-0.12107513835272</v>
      </c>
      <c r="P340" s="17">
        <v>-0.20159143413199601</v>
      </c>
      <c r="Q340" s="17">
        <v>-5.1515590728782999E-2</v>
      </c>
      <c r="R340" s="17">
        <v>3.6859135856936801E-2</v>
      </c>
      <c r="S340" s="17">
        <v>-0.123094035032929</v>
      </c>
      <c r="T340" s="17">
        <v>-0.29495751268625497</v>
      </c>
      <c r="U340" s="17">
        <v>8.7378928899143601E-2</v>
      </c>
      <c r="V340" s="17">
        <v>-0.24382829438346301</v>
      </c>
      <c r="W340" s="17"/>
      <c r="X340" s="17">
        <v>2.46759843262329E-2</v>
      </c>
      <c r="Y340" s="17">
        <v>-0.16515664236369301</v>
      </c>
    </row>
    <row r="341" spans="2:25" x14ac:dyDescent="0.35">
      <c r="C341" s="17"/>
      <c r="D341" s="17"/>
      <c r="E341" s="17"/>
      <c r="F341" s="17"/>
      <c r="G341" s="17"/>
      <c r="H341" s="17"/>
      <c r="I341" s="17"/>
      <c r="J341" s="17"/>
      <c r="K341" s="17"/>
      <c r="L341" s="17"/>
      <c r="M341" s="17"/>
      <c r="N341" s="17"/>
      <c r="O341" s="17"/>
      <c r="P341" s="17"/>
      <c r="Q341" s="17"/>
      <c r="R341" s="17"/>
      <c r="S341" s="17"/>
      <c r="T341" s="17"/>
      <c r="U341" s="17"/>
      <c r="V341" s="17"/>
      <c r="W341" s="17"/>
      <c r="X341" s="17"/>
      <c r="Y341" s="17"/>
    </row>
    <row r="342" spans="2:25" x14ac:dyDescent="0.35">
      <c r="B342" s="6" t="s">
        <v>193</v>
      </c>
      <c r="C342" s="17"/>
      <c r="D342" s="17"/>
      <c r="E342" s="17"/>
      <c r="F342" s="17"/>
      <c r="G342" s="17"/>
      <c r="H342" s="17"/>
      <c r="I342" s="17"/>
      <c r="J342" s="17"/>
      <c r="K342" s="17"/>
      <c r="L342" s="17"/>
      <c r="M342" s="17"/>
      <c r="N342" s="17"/>
      <c r="O342" s="17"/>
      <c r="P342" s="17"/>
      <c r="Q342" s="17"/>
      <c r="R342" s="17"/>
      <c r="S342" s="17"/>
      <c r="T342" s="17"/>
      <c r="U342" s="17"/>
      <c r="V342" s="17"/>
      <c r="W342" s="17"/>
      <c r="X342" s="17"/>
      <c r="Y342" s="17"/>
    </row>
    <row r="343" spans="2:25" x14ac:dyDescent="0.35">
      <c r="B343" s="24" t="s">
        <v>50</v>
      </c>
      <c r="C343" s="17"/>
      <c r="D343" s="17"/>
      <c r="E343" s="17"/>
      <c r="F343" s="17"/>
      <c r="G343" s="17"/>
      <c r="H343" s="17"/>
      <c r="I343" s="17"/>
      <c r="J343" s="17"/>
      <c r="K343" s="17"/>
      <c r="L343" s="17"/>
      <c r="M343" s="17"/>
      <c r="N343" s="17"/>
      <c r="O343" s="17"/>
      <c r="P343" s="17"/>
      <c r="Q343" s="17"/>
      <c r="R343" s="17"/>
      <c r="S343" s="17"/>
      <c r="T343" s="17"/>
      <c r="U343" s="17"/>
      <c r="V343" s="17"/>
      <c r="W343" s="17"/>
      <c r="X343" s="17"/>
      <c r="Y343" s="17"/>
    </row>
    <row r="344" spans="2:25" x14ac:dyDescent="0.35">
      <c r="B344" t="s">
        <v>85</v>
      </c>
      <c r="C344" s="17">
        <v>8.9382796054684396E-2</v>
      </c>
      <c r="D344" s="17">
        <v>0.100893303413607</v>
      </c>
      <c r="E344" s="17">
        <v>7.8375912541711806E-2</v>
      </c>
      <c r="F344" s="17"/>
      <c r="G344" s="17">
        <v>0.135377732577318</v>
      </c>
      <c r="H344" s="17">
        <v>0.124872828108893</v>
      </c>
      <c r="I344" s="17">
        <v>0.122908566094653</v>
      </c>
      <c r="J344" s="17">
        <v>8.7989327405696496E-2</v>
      </c>
      <c r="K344" s="17">
        <v>6.3499543806057504E-2</v>
      </c>
      <c r="L344" s="17">
        <v>4.7740252839724502E-2</v>
      </c>
      <c r="M344" s="17"/>
      <c r="N344" s="17">
        <v>0.108988642210361</v>
      </c>
      <c r="O344" s="17">
        <v>6.91964106018578E-2</v>
      </c>
      <c r="P344" s="17">
        <v>8.8762069689956702E-2</v>
      </c>
      <c r="Q344" s="17">
        <v>5.9103885038470999E-2</v>
      </c>
      <c r="R344" s="17">
        <v>0.103475129772963</v>
      </c>
      <c r="S344" s="17">
        <v>8.9968150903889405E-2</v>
      </c>
      <c r="T344" s="17">
        <v>5.9165236578495602E-2</v>
      </c>
      <c r="U344" s="17">
        <v>0.139680160595439</v>
      </c>
      <c r="V344" s="17">
        <v>7.9190175395200194E-2</v>
      </c>
      <c r="W344" s="17"/>
      <c r="X344" s="17">
        <v>0.114948052233496</v>
      </c>
      <c r="Y344" s="17">
        <v>7.5235839059256404E-2</v>
      </c>
    </row>
    <row r="345" spans="2:25" x14ac:dyDescent="0.35">
      <c r="B345" t="s">
        <v>86</v>
      </c>
      <c r="C345" s="17">
        <v>0.167109056053108</v>
      </c>
      <c r="D345" s="17">
        <v>0.18659804522704901</v>
      </c>
      <c r="E345" s="17">
        <v>0.149430782040332</v>
      </c>
      <c r="F345" s="17"/>
      <c r="G345" s="17">
        <v>0.19495843377303701</v>
      </c>
      <c r="H345" s="17">
        <v>0.20020205240247799</v>
      </c>
      <c r="I345" s="17">
        <v>0.20413188256829801</v>
      </c>
      <c r="J345" s="17">
        <v>0.16089742022299</v>
      </c>
      <c r="K345" s="17">
        <v>0.14715801102498499</v>
      </c>
      <c r="L345" s="17">
        <v>0.13078293177025699</v>
      </c>
      <c r="M345" s="17"/>
      <c r="N345" s="17">
        <v>0.202683715838652</v>
      </c>
      <c r="O345" s="17">
        <v>0.18533627100927899</v>
      </c>
      <c r="P345" s="17">
        <v>0.200072178708179</v>
      </c>
      <c r="Q345" s="17">
        <v>9.8809372671322407E-2</v>
      </c>
      <c r="R345" s="17">
        <v>0.21641960643163</v>
      </c>
      <c r="S345" s="17">
        <v>0.113690274332999</v>
      </c>
      <c r="T345" s="17">
        <v>0.105459040771366</v>
      </c>
      <c r="U345" s="17">
        <v>0.27122582225164699</v>
      </c>
      <c r="V345" s="17">
        <v>0.13163126814366299</v>
      </c>
      <c r="W345" s="17"/>
      <c r="X345" s="17">
        <v>0.18693665328607201</v>
      </c>
      <c r="Y345" s="17">
        <v>0.156137127455346</v>
      </c>
    </row>
    <row r="346" spans="2:25" x14ac:dyDescent="0.35">
      <c r="B346" t="s">
        <v>181</v>
      </c>
      <c r="C346" s="17">
        <v>0.181267698520682</v>
      </c>
      <c r="D346" s="17">
        <v>0.192273641555012</v>
      </c>
      <c r="E346" s="17">
        <v>0.16956107327640299</v>
      </c>
      <c r="F346" s="17"/>
      <c r="G346" s="17">
        <v>0.22560417166728799</v>
      </c>
      <c r="H346" s="17">
        <v>0.179975616220823</v>
      </c>
      <c r="I346" s="17">
        <v>0.19014932542708199</v>
      </c>
      <c r="J346" s="17">
        <v>0.20262832353635901</v>
      </c>
      <c r="K346" s="17">
        <v>0.14766171364775099</v>
      </c>
      <c r="L346" s="17">
        <v>0.16735912526702099</v>
      </c>
      <c r="M346" s="17"/>
      <c r="N346" s="17">
        <v>0.13696246854240601</v>
      </c>
      <c r="O346" s="17">
        <v>0.13460162833898801</v>
      </c>
      <c r="P346" s="17">
        <v>0.194225052284732</v>
      </c>
      <c r="Q346" s="17">
        <v>0.130065666093859</v>
      </c>
      <c r="R346" s="17">
        <v>0.22877097489585199</v>
      </c>
      <c r="S346" s="17">
        <v>0.167298514744226</v>
      </c>
      <c r="T346" s="17">
        <v>0.15654789478207201</v>
      </c>
      <c r="U346" s="17">
        <v>0.24365651899956001</v>
      </c>
      <c r="V346" s="17">
        <v>0.14464981102517999</v>
      </c>
      <c r="W346" s="17"/>
      <c r="X346" s="17">
        <v>0.18430528801186699</v>
      </c>
      <c r="Y346" s="17">
        <v>0.17958679817683301</v>
      </c>
    </row>
    <row r="347" spans="2:25" x14ac:dyDescent="0.35">
      <c r="B347" t="s">
        <v>88</v>
      </c>
      <c r="C347" s="17">
        <v>0.15149406048967401</v>
      </c>
      <c r="D347" s="17">
        <v>0.151760065958879</v>
      </c>
      <c r="E347" s="17">
        <v>0.15133178168980199</v>
      </c>
      <c r="F347" s="17"/>
      <c r="G347" s="17">
        <v>0.18126273581035299</v>
      </c>
      <c r="H347" s="17">
        <v>0.150748803198789</v>
      </c>
      <c r="I347" s="17">
        <v>0.151693589022694</v>
      </c>
      <c r="J347" s="17">
        <v>0.15053334512535599</v>
      </c>
      <c r="K347" s="17">
        <v>0.16133926688159</v>
      </c>
      <c r="L347" s="17">
        <v>0.134905136054875</v>
      </c>
      <c r="M347" s="17"/>
      <c r="N347" s="17">
        <v>0.17131377710736501</v>
      </c>
      <c r="O347" s="17">
        <v>0.154582715455196</v>
      </c>
      <c r="P347" s="17">
        <v>0.14023010121068699</v>
      </c>
      <c r="Q347" s="17">
        <v>0.17041064781092199</v>
      </c>
      <c r="R347" s="17">
        <v>0.158376320843509</v>
      </c>
      <c r="S347" s="17">
        <v>0.15280022084383199</v>
      </c>
      <c r="T347" s="17">
        <v>0.192765960773121</v>
      </c>
      <c r="U347" s="17">
        <v>7.4677249260439005E-2</v>
      </c>
      <c r="V347" s="17">
        <v>0.189125858854785</v>
      </c>
      <c r="W347" s="17"/>
      <c r="X347" s="17">
        <v>0.161255045099963</v>
      </c>
      <c r="Y347" s="17">
        <v>0.146092658346509</v>
      </c>
    </row>
    <row r="348" spans="2:25" x14ac:dyDescent="0.35">
      <c r="B348" t="s">
        <v>89</v>
      </c>
      <c r="C348" s="17">
        <v>0.28612962060972302</v>
      </c>
      <c r="D348" s="17">
        <v>0.262905268601486</v>
      </c>
      <c r="E348" s="17">
        <v>0.308546386194266</v>
      </c>
      <c r="F348" s="17"/>
      <c r="G348" s="17">
        <v>0.19218758259712801</v>
      </c>
      <c r="H348" s="17">
        <v>0.28503607167151301</v>
      </c>
      <c r="I348" s="17">
        <v>0.224135050700737</v>
      </c>
      <c r="J348" s="17">
        <v>0.27694947545454002</v>
      </c>
      <c r="K348" s="17">
        <v>0.32965079077195902</v>
      </c>
      <c r="L348" s="17">
        <v>0.33913055549930499</v>
      </c>
      <c r="M348" s="17"/>
      <c r="N348" s="17">
        <v>0.25031461021086798</v>
      </c>
      <c r="O348" s="17">
        <v>0.32892441283875401</v>
      </c>
      <c r="P348" s="17">
        <v>0.257707987854642</v>
      </c>
      <c r="Q348" s="17">
        <v>0.470946552424651</v>
      </c>
      <c r="R348" s="17">
        <v>0.177151907262696</v>
      </c>
      <c r="S348" s="17">
        <v>0.30994219702229497</v>
      </c>
      <c r="T348" s="17">
        <v>0.362199807263972</v>
      </c>
      <c r="U348" s="17">
        <v>0.102576020909426</v>
      </c>
      <c r="V348" s="17">
        <v>0.375813935118885</v>
      </c>
      <c r="W348" s="17"/>
      <c r="X348" s="17">
        <v>0.26698574239805001</v>
      </c>
      <c r="Y348" s="17">
        <v>0.29672320198798102</v>
      </c>
    </row>
    <row r="349" spans="2:25" x14ac:dyDescent="0.35">
      <c r="B349" t="s">
        <v>69</v>
      </c>
      <c r="C349" s="17">
        <v>0.124616768272129</v>
      </c>
      <c r="D349" s="17">
        <v>0.105569675243968</v>
      </c>
      <c r="E349" s="17">
        <v>0.14275406425748499</v>
      </c>
      <c r="F349" s="17"/>
      <c r="G349" s="17">
        <v>7.0609343574875597E-2</v>
      </c>
      <c r="H349" s="17">
        <v>5.9164628397503097E-2</v>
      </c>
      <c r="I349" s="17">
        <v>0.106981586186536</v>
      </c>
      <c r="J349" s="17">
        <v>0.121002108255059</v>
      </c>
      <c r="K349" s="17">
        <v>0.150690673867658</v>
      </c>
      <c r="L349" s="17">
        <v>0.18008199856881699</v>
      </c>
      <c r="M349" s="17"/>
      <c r="N349" s="17">
        <v>0.129736786090348</v>
      </c>
      <c r="O349" s="17">
        <v>0.127358561755926</v>
      </c>
      <c r="P349" s="17">
        <v>0.119002610251803</v>
      </c>
      <c r="Q349" s="17">
        <v>7.06638759607741E-2</v>
      </c>
      <c r="R349" s="17">
        <v>0.115806060793351</v>
      </c>
      <c r="S349" s="17">
        <v>0.166300642152759</v>
      </c>
      <c r="T349" s="17">
        <v>0.123862059830973</v>
      </c>
      <c r="U349" s="17">
        <v>0.168184227983488</v>
      </c>
      <c r="V349" s="17">
        <v>7.9588951462287102E-2</v>
      </c>
      <c r="W349" s="17"/>
      <c r="X349" s="17">
        <v>8.5569218970552502E-2</v>
      </c>
      <c r="Y349" s="17">
        <v>0.14622437497407401</v>
      </c>
    </row>
    <row r="350" spans="2:25" x14ac:dyDescent="0.35">
      <c r="B350" t="s">
        <v>90</v>
      </c>
      <c r="C350" s="17">
        <v>0.25649185210779202</v>
      </c>
      <c r="D350" s="17">
        <v>0.28749134864065601</v>
      </c>
      <c r="E350" s="17">
        <v>0.227806694582044</v>
      </c>
      <c r="F350" s="17"/>
      <c r="G350" s="17">
        <v>0.33033616635035501</v>
      </c>
      <c r="H350" s="17">
        <v>0.32507488051137201</v>
      </c>
      <c r="I350" s="17">
        <v>0.32704044866295101</v>
      </c>
      <c r="J350" s="17">
        <v>0.24888674762868601</v>
      </c>
      <c r="K350" s="17">
        <v>0.21065755483104201</v>
      </c>
      <c r="L350" s="17">
        <v>0.17852318460998201</v>
      </c>
      <c r="M350" s="17"/>
      <c r="N350" s="17">
        <v>0.311672358049013</v>
      </c>
      <c r="O350" s="17">
        <v>0.25453268161113601</v>
      </c>
      <c r="P350" s="17">
        <v>0.28883424839813598</v>
      </c>
      <c r="Q350" s="17">
        <v>0.157913257709793</v>
      </c>
      <c r="R350" s="17">
        <v>0.31989473620459302</v>
      </c>
      <c r="S350" s="17">
        <v>0.20365842523688801</v>
      </c>
      <c r="T350" s="17">
        <v>0.16462427734986099</v>
      </c>
      <c r="U350" s="17">
        <v>0.41090598284708701</v>
      </c>
      <c r="V350" s="17">
        <v>0.21082144353886301</v>
      </c>
      <c r="W350" s="17"/>
      <c r="X350" s="17">
        <v>0.30188470551956798</v>
      </c>
      <c r="Y350" s="17">
        <v>0.23137296651460301</v>
      </c>
    </row>
    <row r="351" spans="2:25" x14ac:dyDescent="0.35">
      <c r="B351" t="s">
        <v>91</v>
      </c>
      <c r="C351" s="17">
        <v>0.43762368109939698</v>
      </c>
      <c r="D351" s="17">
        <v>0.41466533456036497</v>
      </c>
      <c r="E351" s="17">
        <v>0.45987816788406699</v>
      </c>
      <c r="F351" s="17"/>
      <c r="G351" s="17">
        <v>0.373450318407481</v>
      </c>
      <c r="H351" s="17">
        <v>0.43578487487030199</v>
      </c>
      <c r="I351" s="17">
        <v>0.375828639723431</v>
      </c>
      <c r="J351" s="17">
        <v>0.42748282057989601</v>
      </c>
      <c r="K351" s="17">
        <v>0.49099005765355003</v>
      </c>
      <c r="L351" s="17">
        <v>0.47403569155418002</v>
      </c>
      <c r="M351" s="17"/>
      <c r="N351" s="17">
        <v>0.42162838731823299</v>
      </c>
      <c r="O351" s="17">
        <v>0.48350712829394898</v>
      </c>
      <c r="P351" s="17">
        <v>0.39793808906532901</v>
      </c>
      <c r="Q351" s="17">
        <v>0.64135720023557297</v>
      </c>
      <c r="R351" s="17">
        <v>0.33552822810620497</v>
      </c>
      <c r="S351" s="17">
        <v>0.46274241786612702</v>
      </c>
      <c r="T351" s="17">
        <v>0.55496576803709297</v>
      </c>
      <c r="U351" s="17">
        <v>0.177253270169865</v>
      </c>
      <c r="V351" s="17">
        <v>0.56493979397367</v>
      </c>
      <c r="W351" s="17"/>
      <c r="X351" s="17">
        <v>0.42824078749801298</v>
      </c>
      <c r="Y351" s="17">
        <v>0.44281586033449</v>
      </c>
    </row>
    <row r="352" spans="2:25" x14ac:dyDescent="0.35">
      <c r="B352" t="s">
        <v>92</v>
      </c>
      <c r="C352" s="17">
        <v>-0.18113182899160399</v>
      </c>
      <c r="D352" s="17">
        <v>-0.12717398591970899</v>
      </c>
      <c r="E352" s="17">
        <v>-0.23207147330202299</v>
      </c>
      <c r="F352" s="17"/>
      <c r="G352" s="17">
        <v>-4.3114152057125703E-2</v>
      </c>
      <c r="H352" s="17">
        <v>-0.11070999435893</v>
      </c>
      <c r="I352" s="17">
        <v>-4.8788191060480497E-2</v>
      </c>
      <c r="J352" s="17">
        <v>-0.17859607295120999</v>
      </c>
      <c r="K352" s="17">
        <v>-0.28033250282250799</v>
      </c>
      <c r="L352" s="17">
        <v>-0.29551250694419801</v>
      </c>
      <c r="M352" s="17"/>
      <c r="N352" s="17">
        <v>-0.10995602926922</v>
      </c>
      <c r="O352" s="17">
        <v>-0.228974446682813</v>
      </c>
      <c r="P352" s="17">
        <v>-0.109103840667193</v>
      </c>
      <c r="Q352" s="17">
        <v>-0.48344394252577999</v>
      </c>
      <c r="R352" s="17">
        <v>-1.5633491901612E-2</v>
      </c>
      <c r="S352" s="17">
        <v>-0.25908399262923898</v>
      </c>
      <c r="T352" s="17">
        <v>-0.39034149068723201</v>
      </c>
      <c r="U352" s="17">
        <v>0.23365271267722201</v>
      </c>
      <c r="V352" s="17">
        <v>-0.35411835043480699</v>
      </c>
      <c r="W352" s="17"/>
      <c r="X352" s="17">
        <v>-0.126356081978445</v>
      </c>
      <c r="Y352" s="17">
        <v>-0.21144289381988701</v>
      </c>
    </row>
    <row r="353" spans="2:25" x14ac:dyDescent="0.35">
      <c r="C353" s="17"/>
      <c r="D353" s="17"/>
      <c r="E353" s="17"/>
      <c r="F353" s="17"/>
      <c r="G353" s="17"/>
      <c r="H353" s="17"/>
      <c r="I353" s="17"/>
      <c r="J353" s="17"/>
      <c r="K353" s="17"/>
      <c r="L353" s="17"/>
      <c r="M353" s="17"/>
      <c r="N353" s="17"/>
      <c r="O353" s="17"/>
      <c r="P353" s="17"/>
      <c r="Q353" s="17"/>
      <c r="R353" s="17"/>
      <c r="S353" s="17"/>
      <c r="T353" s="17"/>
      <c r="U353" s="17"/>
      <c r="V353" s="17"/>
      <c r="W353" s="17"/>
      <c r="X353" s="17"/>
      <c r="Y353" s="17"/>
    </row>
    <row r="354" spans="2:25" x14ac:dyDescent="0.35">
      <c r="B354" s="6" t="s">
        <v>194</v>
      </c>
      <c r="C354" s="17"/>
      <c r="D354" s="17"/>
      <c r="E354" s="17"/>
      <c r="F354" s="17"/>
      <c r="G354" s="17"/>
      <c r="H354" s="17"/>
      <c r="I354" s="17"/>
      <c r="J354" s="17"/>
      <c r="K354" s="17"/>
      <c r="L354" s="17"/>
      <c r="M354" s="17"/>
      <c r="N354" s="17"/>
      <c r="O354" s="17"/>
      <c r="P354" s="17"/>
      <c r="Q354" s="17"/>
      <c r="R354" s="17"/>
      <c r="S354" s="17"/>
      <c r="T354" s="17"/>
      <c r="U354" s="17"/>
      <c r="V354" s="17"/>
      <c r="W354" s="17"/>
      <c r="X354" s="17"/>
      <c r="Y354" s="17"/>
    </row>
    <row r="355" spans="2:25" x14ac:dyDescent="0.35">
      <c r="B355" s="24" t="s">
        <v>50</v>
      </c>
      <c r="C355" s="17"/>
      <c r="D355" s="17"/>
      <c r="E355" s="17"/>
      <c r="F355" s="17"/>
      <c r="G355" s="17"/>
      <c r="H355" s="17"/>
      <c r="I355" s="17"/>
      <c r="J355" s="17"/>
      <c r="K355" s="17"/>
      <c r="L355" s="17"/>
      <c r="M355" s="17"/>
      <c r="N355" s="17"/>
      <c r="O355" s="17"/>
      <c r="P355" s="17"/>
      <c r="Q355" s="17"/>
      <c r="R355" s="17"/>
      <c r="S355" s="17"/>
      <c r="T355" s="17"/>
      <c r="U355" s="17"/>
      <c r="V355" s="17"/>
      <c r="W355" s="17"/>
      <c r="X355" s="17"/>
      <c r="Y355" s="17"/>
    </row>
    <row r="356" spans="2:25" x14ac:dyDescent="0.35">
      <c r="B356" t="s">
        <v>85</v>
      </c>
      <c r="C356" s="17">
        <v>5.1816101491486501E-2</v>
      </c>
      <c r="D356" s="17">
        <v>6.2871224832411907E-2</v>
      </c>
      <c r="E356" s="17">
        <v>4.1368770755014501E-2</v>
      </c>
      <c r="F356" s="17"/>
      <c r="G356" s="17">
        <v>9.4342307102566594E-2</v>
      </c>
      <c r="H356" s="17">
        <v>9.8081868581188003E-2</v>
      </c>
      <c r="I356" s="17">
        <v>6.9750199973415902E-2</v>
      </c>
      <c r="J356" s="17">
        <v>5.3093937438247703E-2</v>
      </c>
      <c r="K356" s="17">
        <v>2.2577157482784001E-2</v>
      </c>
      <c r="L356" s="17">
        <v>1.5470029650738499E-2</v>
      </c>
      <c r="M356" s="17"/>
      <c r="N356" s="17">
        <v>6.03986386942333E-2</v>
      </c>
      <c r="O356" s="17">
        <v>3.0216153050409301E-2</v>
      </c>
      <c r="P356" s="17">
        <v>5.4062212471483899E-2</v>
      </c>
      <c r="Q356" s="17">
        <v>3.8359474457118299E-2</v>
      </c>
      <c r="R356" s="17">
        <v>5.9599307056437602E-2</v>
      </c>
      <c r="S356" s="17">
        <v>4.5351902257960999E-2</v>
      </c>
      <c r="T356" s="17">
        <v>3.5330038792604102E-2</v>
      </c>
      <c r="U356" s="17">
        <v>8.2900758858609203E-2</v>
      </c>
      <c r="V356" s="17">
        <v>4.6167264282977002E-2</v>
      </c>
      <c r="W356" s="17"/>
      <c r="X356" s="17">
        <v>7.7587289812754798E-2</v>
      </c>
      <c r="Y356" s="17">
        <v>3.7555188541815901E-2</v>
      </c>
    </row>
    <row r="357" spans="2:25" x14ac:dyDescent="0.35">
      <c r="B357" t="s">
        <v>86</v>
      </c>
      <c r="C357" s="17">
        <v>0.11091575157026901</v>
      </c>
      <c r="D357" s="17">
        <v>0.120710529205175</v>
      </c>
      <c r="E357" s="17">
        <v>0.100977591401281</v>
      </c>
      <c r="F357" s="17"/>
      <c r="G357" s="17">
        <v>0.156033214611558</v>
      </c>
      <c r="H357" s="17">
        <v>0.16352562434315801</v>
      </c>
      <c r="I357" s="17">
        <v>0.15867158541874599</v>
      </c>
      <c r="J357" s="17">
        <v>9.4177984905176204E-2</v>
      </c>
      <c r="K357" s="17">
        <v>8.4301895798846699E-2</v>
      </c>
      <c r="L357" s="17">
        <v>6.1303563156481999E-2</v>
      </c>
      <c r="M357" s="17"/>
      <c r="N357" s="17">
        <v>9.7268711993853396E-2</v>
      </c>
      <c r="O357" s="17">
        <v>8.7660072410464807E-2</v>
      </c>
      <c r="P357" s="17">
        <v>9.9582212224614705E-2</v>
      </c>
      <c r="Q357" s="17">
        <v>7.3555503715108397E-2</v>
      </c>
      <c r="R357" s="17">
        <v>0.20640358867466499</v>
      </c>
      <c r="S357" s="17">
        <v>8.2490063237577405E-2</v>
      </c>
      <c r="T357" s="17">
        <v>6.5317721694075001E-2</v>
      </c>
      <c r="U357" s="17">
        <v>0.17318530566130599</v>
      </c>
      <c r="V357" s="17">
        <v>4.2023913148079101E-2</v>
      </c>
      <c r="W357" s="17"/>
      <c r="X357" s="17">
        <v>0.12523947400601301</v>
      </c>
      <c r="Y357" s="17">
        <v>0.102989483048037</v>
      </c>
    </row>
    <row r="358" spans="2:25" x14ac:dyDescent="0.35">
      <c r="B358" t="s">
        <v>181</v>
      </c>
      <c r="C358" s="17">
        <v>0.19796602479737699</v>
      </c>
      <c r="D358" s="17">
        <v>0.21789380411547399</v>
      </c>
      <c r="E358" s="17">
        <v>0.17887001522557999</v>
      </c>
      <c r="F358" s="17"/>
      <c r="G358" s="17">
        <v>0.25551493902309302</v>
      </c>
      <c r="H358" s="17">
        <v>0.21442561356554499</v>
      </c>
      <c r="I358" s="17">
        <v>0.22008426635082001</v>
      </c>
      <c r="J358" s="17">
        <v>0.22000922410461601</v>
      </c>
      <c r="K358" s="17">
        <v>0.16055391116450399</v>
      </c>
      <c r="L358" s="17">
        <v>0.162179930937665</v>
      </c>
      <c r="M358" s="17"/>
      <c r="N358" s="17">
        <v>0.16281702974918699</v>
      </c>
      <c r="O358" s="17">
        <v>0.17257374099234299</v>
      </c>
      <c r="P358" s="17">
        <v>0.20936327786988901</v>
      </c>
      <c r="Q358" s="17">
        <v>0.149805093699722</v>
      </c>
      <c r="R358" s="17">
        <v>0.28985268786171797</v>
      </c>
      <c r="S358" s="17">
        <v>0.15304801476119001</v>
      </c>
      <c r="T358" s="17">
        <v>0.14812036540221299</v>
      </c>
      <c r="U358" s="17">
        <v>0.283544562386215</v>
      </c>
      <c r="V358" s="17">
        <v>0.114091421413203</v>
      </c>
      <c r="W358" s="17"/>
      <c r="X358" s="17">
        <v>0.20453043184550701</v>
      </c>
      <c r="Y358" s="17">
        <v>0.19433350167455599</v>
      </c>
    </row>
    <row r="359" spans="2:25" x14ac:dyDescent="0.35">
      <c r="B359" t="s">
        <v>88</v>
      </c>
      <c r="C359" s="17">
        <v>0.153060317920476</v>
      </c>
      <c r="D359" s="17">
        <v>0.164795340205103</v>
      </c>
      <c r="E359" s="17">
        <v>0.14204454272209199</v>
      </c>
      <c r="F359" s="17"/>
      <c r="G359" s="17">
        <v>0.188991983340347</v>
      </c>
      <c r="H359" s="17">
        <v>0.163555319936764</v>
      </c>
      <c r="I359" s="17">
        <v>0.156476673919063</v>
      </c>
      <c r="J359" s="17">
        <v>0.16049774397612099</v>
      </c>
      <c r="K359" s="17">
        <v>0.15158560503914201</v>
      </c>
      <c r="L359" s="17">
        <v>0.127172478622985</v>
      </c>
      <c r="M359" s="17"/>
      <c r="N359" s="17">
        <v>0.177715147060721</v>
      </c>
      <c r="O359" s="17">
        <v>0.23187384516384299</v>
      </c>
      <c r="P359" s="17">
        <v>0.169578740515375</v>
      </c>
      <c r="Q359" s="17">
        <v>0.20466000235641399</v>
      </c>
      <c r="R359" s="17">
        <v>0.15107079627681</v>
      </c>
      <c r="S359" s="17">
        <v>0.125082189364982</v>
      </c>
      <c r="T359" s="17">
        <v>0.149501245709669</v>
      </c>
      <c r="U359" s="17">
        <v>9.4259841031335806E-2</v>
      </c>
      <c r="V359" s="17">
        <v>0.16267496024797101</v>
      </c>
      <c r="W359" s="17"/>
      <c r="X359" s="17">
        <v>0.14906810710106999</v>
      </c>
      <c r="Y359" s="17">
        <v>0.15526947375227401</v>
      </c>
    </row>
    <row r="360" spans="2:25" x14ac:dyDescent="0.35">
      <c r="B360" t="s">
        <v>89</v>
      </c>
      <c r="C360" s="17">
        <v>0.29754315947737697</v>
      </c>
      <c r="D360" s="17">
        <v>0.27083734382844499</v>
      </c>
      <c r="E360" s="17">
        <v>0.32328304725988899</v>
      </c>
      <c r="F360" s="17"/>
      <c r="G360" s="17">
        <v>0.19884407111324001</v>
      </c>
      <c r="H360" s="17">
        <v>0.25901968966025501</v>
      </c>
      <c r="I360" s="17">
        <v>0.23784336874974801</v>
      </c>
      <c r="J360" s="17">
        <v>0.29160751937566798</v>
      </c>
      <c r="K360" s="17">
        <v>0.35578802864160303</v>
      </c>
      <c r="L360" s="17">
        <v>0.361091820853361</v>
      </c>
      <c r="M360" s="17"/>
      <c r="N360" s="17">
        <v>0.27805156318223501</v>
      </c>
      <c r="O360" s="17">
        <v>0.367743652353685</v>
      </c>
      <c r="P360" s="17">
        <v>0.2911953026347</v>
      </c>
      <c r="Q360" s="17">
        <v>0.43263503329534497</v>
      </c>
      <c r="R360" s="17">
        <v>0.14755915726365501</v>
      </c>
      <c r="S360" s="17">
        <v>0.35388239008999001</v>
      </c>
      <c r="T360" s="17">
        <v>0.36797354009724098</v>
      </c>
      <c r="U360" s="17">
        <v>9.1751171334822607E-2</v>
      </c>
      <c r="V360" s="17">
        <v>0.52363963743979203</v>
      </c>
      <c r="W360" s="17"/>
      <c r="X360" s="17">
        <v>0.30060607062796901</v>
      </c>
      <c r="Y360" s="17">
        <v>0.29584824697483098</v>
      </c>
    </row>
    <row r="361" spans="2:25" x14ac:dyDescent="0.35">
      <c r="B361" t="s">
        <v>69</v>
      </c>
      <c r="C361" s="17">
        <v>0.18869864474301401</v>
      </c>
      <c r="D361" s="17">
        <v>0.16289175781339099</v>
      </c>
      <c r="E361" s="17">
        <v>0.21345603263614399</v>
      </c>
      <c r="F361" s="17"/>
      <c r="G361" s="17">
        <v>0.106273484809196</v>
      </c>
      <c r="H361" s="17">
        <v>0.10139188391308999</v>
      </c>
      <c r="I361" s="17">
        <v>0.15717390558820701</v>
      </c>
      <c r="J361" s="17">
        <v>0.18061359020017101</v>
      </c>
      <c r="K361" s="17">
        <v>0.22519340187311901</v>
      </c>
      <c r="L361" s="17">
        <v>0.27278217677876898</v>
      </c>
      <c r="M361" s="17"/>
      <c r="N361" s="17">
        <v>0.22374890931977101</v>
      </c>
      <c r="O361" s="17">
        <v>0.109932536029254</v>
      </c>
      <c r="P361" s="17">
        <v>0.176218254283937</v>
      </c>
      <c r="Q361" s="17">
        <v>0.100984892476292</v>
      </c>
      <c r="R361" s="17">
        <v>0.14551446286671399</v>
      </c>
      <c r="S361" s="17">
        <v>0.24014544028829901</v>
      </c>
      <c r="T361" s="17">
        <v>0.233757088304198</v>
      </c>
      <c r="U361" s="17">
        <v>0.27435836072771103</v>
      </c>
      <c r="V361" s="17">
        <v>0.111402803467978</v>
      </c>
      <c r="W361" s="17"/>
      <c r="X361" s="17">
        <v>0.14296862660668699</v>
      </c>
      <c r="Y361" s="17">
        <v>0.21400410600848499</v>
      </c>
    </row>
    <row r="362" spans="2:25" x14ac:dyDescent="0.35">
      <c r="B362" t="s">
        <v>90</v>
      </c>
      <c r="C362" s="17">
        <v>0.162731853061756</v>
      </c>
      <c r="D362" s="17">
        <v>0.183581754037587</v>
      </c>
      <c r="E362" s="17">
        <v>0.14234636215629501</v>
      </c>
      <c r="F362" s="17"/>
      <c r="G362" s="17">
        <v>0.25037552171412403</v>
      </c>
      <c r="H362" s="17">
        <v>0.26160749292434499</v>
      </c>
      <c r="I362" s="17">
        <v>0.22842178539216201</v>
      </c>
      <c r="J362" s="17">
        <v>0.14727192234342401</v>
      </c>
      <c r="K362" s="17">
        <v>0.106879053281631</v>
      </c>
      <c r="L362" s="17">
        <v>7.6773592807220403E-2</v>
      </c>
      <c r="M362" s="17"/>
      <c r="N362" s="17">
        <v>0.15766735068808699</v>
      </c>
      <c r="O362" s="17">
        <v>0.11787622546087401</v>
      </c>
      <c r="P362" s="17">
        <v>0.15364442469609901</v>
      </c>
      <c r="Q362" s="17">
        <v>0.11191497817222699</v>
      </c>
      <c r="R362" s="17">
        <v>0.26600289573110297</v>
      </c>
      <c r="S362" s="17">
        <v>0.127841965495538</v>
      </c>
      <c r="T362" s="17">
        <v>0.10064776048667901</v>
      </c>
      <c r="U362" s="17">
        <v>0.256086064519916</v>
      </c>
      <c r="V362" s="17">
        <v>8.8191177431056103E-2</v>
      </c>
      <c r="W362" s="17"/>
      <c r="X362" s="17">
        <v>0.20282676381876799</v>
      </c>
      <c r="Y362" s="17">
        <v>0.14054467158985301</v>
      </c>
    </row>
    <row r="363" spans="2:25" x14ac:dyDescent="0.35">
      <c r="B363" t="s">
        <v>91</v>
      </c>
      <c r="C363" s="17">
        <v>0.450603477397853</v>
      </c>
      <c r="D363" s="17">
        <v>0.43563268403354799</v>
      </c>
      <c r="E363" s="17">
        <v>0.46532758998198098</v>
      </c>
      <c r="F363" s="17"/>
      <c r="G363" s="17">
        <v>0.38783605445358699</v>
      </c>
      <c r="H363" s="17">
        <v>0.42257500959701899</v>
      </c>
      <c r="I363" s="17">
        <v>0.39432004266881099</v>
      </c>
      <c r="J363" s="17">
        <v>0.45210526335178902</v>
      </c>
      <c r="K363" s="17">
        <v>0.50737363368074595</v>
      </c>
      <c r="L363" s="17">
        <v>0.48826429947634598</v>
      </c>
      <c r="M363" s="17"/>
      <c r="N363" s="17">
        <v>0.45576671024295601</v>
      </c>
      <c r="O363" s="17">
        <v>0.59961749751752902</v>
      </c>
      <c r="P363" s="17">
        <v>0.46077404315007497</v>
      </c>
      <c r="Q363" s="17">
        <v>0.63729503565175905</v>
      </c>
      <c r="R363" s="17">
        <v>0.29862995354046501</v>
      </c>
      <c r="S363" s="17">
        <v>0.47896457945497201</v>
      </c>
      <c r="T363" s="17">
        <v>0.51747478580690998</v>
      </c>
      <c r="U363" s="17">
        <v>0.186011012366158</v>
      </c>
      <c r="V363" s="17">
        <v>0.68631459768776404</v>
      </c>
      <c r="W363" s="17"/>
      <c r="X363" s="17">
        <v>0.449674177729039</v>
      </c>
      <c r="Y363" s="17">
        <v>0.45111772072710499</v>
      </c>
    </row>
    <row r="364" spans="2:25" x14ac:dyDescent="0.35">
      <c r="B364" t="s">
        <v>92</v>
      </c>
      <c r="C364" s="17">
        <v>-0.28787162433609798</v>
      </c>
      <c r="D364" s="17">
        <v>-0.25205092999596101</v>
      </c>
      <c r="E364" s="17">
        <v>-0.322981227825685</v>
      </c>
      <c r="F364" s="17"/>
      <c r="G364" s="17">
        <v>-0.13746053273946199</v>
      </c>
      <c r="H364" s="17">
        <v>-0.16096751667267301</v>
      </c>
      <c r="I364" s="17">
        <v>-0.165898257276649</v>
      </c>
      <c r="J364" s="17">
        <v>-0.30483334100836501</v>
      </c>
      <c r="K364" s="17">
        <v>-0.40049458039911501</v>
      </c>
      <c r="L364" s="17">
        <v>-0.41149070666912602</v>
      </c>
      <c r="M364" s="17"/>
      <c r="N364" s="17">
        <v>-0.29809935955486899</v>
      </c>
      <c r="O364" s="17">
        <v>-0.48174127205665501</v>
      </c>
      <c r="P364" s="17">
        <v>-0.30712961845397602</v>
      </c>
      <c r="Q364" s="17">
        <v>-0.52538005747953298</v>
      </c>
      <c r="R364" s="17">
        <v>-3.2627057809361898E-2</v>
      </c>
      <c r="S364" s="17">
        <v>-0.351122613959434</v>
      </c>
      <c r="T364" s="17">
        <v>-0.41682702532023103</v>
      </c>
      <c r="U364" s="17">
        <v>7.0075052153757103E-2</v>
      </c>
      <c r="V364" s="17">
        <v>-0.59812342025670795</v>
      </c>
      <c r="W364" s="17"/>
      <c r="X364" s="17">
        <v>-0.24684741391027101</v>
      </c>
      <c r="Y364" s="17">
        <v>-0.31057304913725298</v>
      </c>
    </row>
    <row r="365" spans="2:25" x14ac:dyDescent="0.35">
      <c r="C365" s="17"/>
      <c r="D365" s="17"/>
      <c r="E365" s="17"/>
      <c r="F365" s="17"/>
      <c r="G365" s="17"/>
      <c r="H365" s="17"/>
      <c r="I365" s="17"/>
      <c r="J365" s="17"/>
      <c r="K365" s="17"/>
      <c r="L365" s="17"/>
      <c r="M365" s="17"/>
      <c r="N365" s="17"/>
      <c r="O365" s="17"/>
      <c r="P365" s="17"/>
      <c r="Q365" s="17"/>
      <c r="R365" s="17"/>
      <c r="S365" s="17"/>
      <c r="T365" s="17"/>
      <c r="U365" s="17"/>
      <c r="V365" s="17"/>
      <c r="W365" s="17"/>
      <c r="X365" s="17"/>
      <c r="Y365" s="17"/>
    </row>
    <row r="366" spans="2:25" x14ac:dyDescent="0.35">
      <c r="B366" s="6" t="s">
        <v>195</v>
      </c>
      <c r="C366" s="17"/>
      <c r="D366" s="17"/>
      <c r="E366" s="17"/>
      <c r="F366" s="17"/>
      <c r="G366" s="17"/>
      <c r="H366" s="17"/>
      <c r="I366" s="17"/>
      <c r="J366" s="17"/>
      <c r="K366" s="17"/>
      <c r="L366" s="17"/>
      <c r="M366" s="17"/>
      <c r="N366" s="17"/>
      <c r="O366" s="17"/>
      <c r="P366" s="17"/>
      <c r="Q366" s="17"/>
      <c r="R366" s="17"/>
      <c r="S366" s="17"/>
      <c r="T366" s="17"/>
      <c r="U366" s="17"/>
      <c r="V366" s="17"/>
      <c r="W366" s="17"/>
      <c r="X366" s="17"/>
      <c r="Y366" s="17"/>
    </row>
    <row r="367" spans="2:25" x14ac:dyDescent="0.35">
      <c r="B367" s="24" t="s">
        <v>50</v>
      </c>
      <c r="C367" s="17"/>
      <c r="D367" s="17"/>
      <c r="E367" s="17"/>
      <c r="F367" s="17"/>
      <c r="G367" s="17"/>
      <c r="H367" s="17"/>
      <c r="I367" s="17"/>
      <c r="J367" s="17"/>
      <c r="K367" s="17"/>
      <c r="L367" s="17"/>
      <c r="M367" s="17"/>
      <c r="N367" s="17"/>
      <c r="O367" s="17"/>
      <c r="P367" s="17"/>
      <c r="Q367" s="17"/>
      <c r="R367" s="17"/>
      <c r="S367" s="17"/>
      <c r="T367" s="17"/>
      <c r="U367" s="17"/>
      <c r="V367" s="17"/>
      <c r="W367" s="17"/>
      <c r="X367" s="17"/>
      <c r="Y367" s="17"/>
    </row>
    <row r="368" spans="2:25" x14ac:dyDescent="0.35">
      <c r="B368" t="s">
        <v>85</v>
      </c>
      <c r="C368" s="17">
        <v>0.54757353065137204</v>
      </c>
      <c r="D368" s="17">
        <v>0.53055685993493895</v>
      </c>
      <c r="E368" s="17">
        <v>0.56298399466381199</v>
      </c>
      <c r="F368" s="17"/>
      <c r="G368" s="17">
        <v>0.51012110756154905</v>
      </c>
      <c r="H368" s="17">
        <v>0.56410035784513402</v>
      </c>
      <c r="I368" s="17">
        <v>0.56962742685961298</v>
      </c>
      <c r="J368" s="17">
        <v>0.567610772135141</v>
      </c>
      <c r="K368" s="17">
        <v>0.56940194489830598</v>
      </c>
      <c r="L368" s="17">
        <v>0.50952084808122899</v>
      </c>
      <c r="M368" s="17"/>
      <c r="N368" s="17">
        <v>0.69833424571136404</v>
      </c>
      <c r="O368" s="17">
        <v>0.73766729414922305</v>
      </c>
      <c r="P368" s="17">
        <v>0.54859282412558896</v>
      </c>
      <c r="Q368" s="17">
        <v>0.58966100098585095</v>
      </c>
      <c r="R368" s="17">
        <v>0.42135236345220001</v>
      </c>
      <c r="S368" s="17">
        <v>0.59527409073470405</v>
      </c>
      <c r="T368" s="17">
        <v>0.54550032476292298</v>
      </c>
      <c r="U368" s="17">
        <v>0.49688471972255899</v>
      </c>
      <c r="V368" s="17">
        <v>0.59543225244282605</v>
      </c>
      <c r="W368" s="17"/>
      <c r="X368" s="17">
        <v>0.61947783663147904</v>
      </c>
      <c r="Y368" s="17">
        <v>0.50778409465386598</v>
      </c>
    </row>
    <row r="369" spans="2:25" x14ac:dyDescent="0.35">
      <c r="B369" t="s">
        <v>86</v>
      </c>
      <c r="C369" s="17">
        <v>0.29647451077100501</v>
      </c>
      <c r="D369" s="17">
        <v>0.30465446488304598</v>
      </c>
      <c r="E369" s="17">
        <v>0.28941159746714701</v>
      </c>
      <c r="F369" s="17"/>
      <c r="G369" s="17">
        <v>0.33385418004081102</v>
      </c>
      <c r="H369" s="17">
        <v>0.29356522474191998</v>
      </c>
      <c r="I369" s="17">
        <v>0.309204290740758</v>
      </c>
      <c r="J369" s="17">
        <v>0.28197805304972001</v>
      </c>
      <c r="K369" s="17">
        <v>0.278639520400562</v>
      </c>
      <c r="L369" s="17">
        <v>0.29776596733583499</v>
      </c>
      <c r="M369" s="17"/>
      <c r="N369" s="17">
        <v>0.21618578865072799</v>
      </c>
      <c r="O369" s="17">
        <v>0.216961012395192</v>
      </c>
      <c r="P369" s="17">
        <v>0.28068150750780901</v>
      </c>
      <c r="Q369" s="17">
        <v>0.236526597876553</v>
      </c>
      <c r="R369" s="17">
        <v>0.40657470889596198</v>
      </c>
      <c r="S369" s="17">
        <v>0.25731944657530897</v>
      </c>
      <c r="T369" s="17">
        <v>0.29190856582243502</v>
      </c>
      <c r="U369" s="17">
        <v>0.33676295793764</v>
      </c>
      <c r="V369" s="17">
        <v>0.29955482194440303</v>
      </c>
      <c r="W369" s="17"/>
      <c r="X369" s="17">
        <v>0.26398995422985799</v>
      </c>
      <c r="Y369" s="17">
        <v>0.31445037696960099</v>
      </c>
    </row>
    <row r="370" spans="2:25" x14ac:dyDescent="0.35">
      <c r="B370" t="s">
        <v>181</v>
      </c>
      <c r="C370" s="17">
        <v>9.3133180837162696E-2</v>
      </c>
      <c r="D370" s="17">
        <v>0.101792187545121</v>
      </c>
      <c r="E370" s="17">
        <v>8.5015974237376904E-2</v>
      </c>
      <c r="F370" s="17"/>
      <c r="G370" s="17">
        <v>0.10147061041476001</v>
      </c>
      <c r="H370" s="17">
        <v>0.10106200917545299</v>
      </c>
      <c r="I370" s="17">
        <v>8.2568859341376796E-2</v>
      </c>
      <c r="J370" s="17">
        <v>8.9782551094166094E-2</v>
      </c>
      <c r="K370" s="17">
        <v>7.5160622124596899E-2</v>
      </c>
      <c r="L370" s="17">
        <v>0.10623273521986699</v>
      </c>
      <c r="M370" s="17"/>
      <c r="N370" s="17">
        <v>4.67766881920356E-2</v>
      </c>
      <c r="O370" s="17">
        <v>2.9604910543114898E-2</v>
      </c>
      <c r="P370" s="17">
        <v>7.7367930891685199E-2</v>
      </c>
      <c r="Q370" s="17">
        <v>9.2767175330738402E-2</v>
      </c>
      <c r="R370" s="17">
        <v>0.12311757271408</v>
      </c>
      <c r="S370" s="17">
        <v>7.7671814374500797E-2</v>
      </c>
      <c r="T370" s="17">
        <v>0.11557219110931399</v>
      </c>
      <c r="U370" s="17">
        <v>0.105810501727437</v>
      </c>
      <c r="V370" s="17">
        <v>6.5036117201388993E-2</v>
      </c>
      <c r="W370" s="17"/>
      <c r="X370" s="17">
        <v>7.5769488699084994E-2</v>
      </c>
      <c r="Y370" s="17">
        <v>0.102741666832418</v>
      </c>
    </row>
    <row r="371" spans="2:25" x14ac:dyDescent="0.35">
      <c r="B371" t="s">
        <v>88</v>
      </c>
      <c r="C371" s="17">
        <v>2.3482041836929299E-2</v>
      </c>
      <c r="D371" s="17">
        <v>2.7072228004423899E-2</v>
      </c>
      <c r="E371" s="17">
        <v>2.01961997404549E-2</v>
      </c>
      <c r="F371" s="17"/>
      <c r="G371" s="17">
        <v>3.4206254721668702E-2</v>
      </c>
      <c r="H371" s="17">
        <v>2.3127645080033E-2</v>
      </c>
      <c r="I371" s="17">
        <v>1.2584089092702699E-2</v>
      </c>
      <c r="J371" s="17">
        <v>1.8081186386011999E-2</v>
      </c>
      <c r="K371" s="17">
        <v>2.7706417430475899E-2</v>
      </c>
      <c r="L371" s="17">
        <v>2.7601482770735E-2</v>
      </c>
      <c r="M371" s="17"/>
      <c r="N371" s="17">
        <v>4.4419320092141199E-3</v>
      </c>
      <c r="O371" s="17">
        <v>3.9872243266643199E-3</v>
      </c>
      <c r="P371" s="17">
        <v>3.7570262152815802E-2</v>
      </c>
      <c r="Q371" s="17">
        <v>2.8980234526728401E-2</v>
      </c>
      <c r="R371" s="17">
        <v>2.1904971718419201E-2</v>
      </c>
      <c r="S371" s="17">
        <v>1.6483765699982899E-2</v>
      </c>
      <c r="T371" s="17">
        <v>2.72545799264165E-2</v>
      </c>
      <c r="U371" s="17">
        <v>1.9457651531177501E-2</v>
      </c>
      <c r="V371" s="17">
        <v>1.6385125324633799E-2</v>
      </c>
      <c r="W371" s="17"/>
      <c r="X371" s="17">
        <v>1.7659401174710598E-2</v>
      </c>
      <c r="Y371" s="17">
        <v>2.6704096271748801E-2</v>
      </c>
    </row>
    <row r="372" spans="2:25" x14ac:dyDescent="0.35">
      <c r="B372" t="s">
        <v>89</v>
      </c>
      <c r="C372" s="17">
        <v>1.60616992481738E-2</v>
      </c>
      <c r="D372" s="17">
        <v>1.5578248101737101E-2</v>
      </c>
      <c r="E372" s="17">
        <v>1.6581089901292399E-2</v>
      </c>
      <c r="F372" s="17"/>
      <c r="G372" s="17">
        <v>5.8421728863263904E-3</v>
      </c>
      <c r="H372" s="17">
        <v>7.2760573717750299E-3</v>
      </c>
      <c r="I372" s="17">
        <v>8.7427908236260895E-3</v>
      </c>
      <c r="J372" s="17">
        <v>1.6277355208848699E-2</v>
      </c>
      <c r="K372" s="17">
        <v>2.3090659639669001E-2</v>
      </c>
      <c r="L372" s="17">
        <v>2.4986597904987001E-2</v>
      </c>
      <c r="M372" s="17"/>
      <c r="N372" s="17">
        <v>1.2071306588364999E-2</v>
      </c>
      <c r="O372" s="17">
        <v>3.35963674736885E-3</v>
      </c>
      <c r="P372" s="17">
        <v>2.1896993109057399E-2</v>
      </c>
      <c r="Q372" s="17">
        <v>3.1355399565851899E-2</v>
      </c>
      <c r="R372" s="17">
        <v>5.1000078770968302E-3</v>
      </c>
      <c r="S372" s="17">
        <v>2.2855122702107E-2</v>
      </c>
      <c r="T372" s="17">
        <v>6.75553091223066E-3</v>
      </c>
      <c r="U372" s="17">
        <v>1.3574195419517999E-2</v>
      </c>
      <c r="V372" s="17">
        <v>1.1785218385055999E-2</v>
      </c>
      <c r="W372" s="17"/>
      <c r="X372" s="17">
        <v>8.9812965944931593E-3</v>
      </c>
      <c r="Y372" s="17">
        <v>1.99797570666185E-2</v>
      </c>
    </row>
    <row r="373" spans="2:25" x14ac:dyDescent="0.35">
      <c r="B373" t="s">
        <v>69</v>
      </c>
      <c r="C373" s="17">
        <v>2.3275036655357399E-2</v>
      </c>
      <c r="D373" s="17">
        <v>2.0346011530733399E-2</v>
      </c>
      <c r="E373" s="17">
        <v>2.5811143989916401E-2</v>
      </c>
      <c r="F373" s="17"/>
      <c r="G373" s="17">
        <v>1.4505674374884901E-2</v>
      </c>
      <c r="H373" s="17">
        <v>1.08687057856851E-2</v>
      </c>
      <c r="I373" s="17">
        <v>1.72725431419238E-2</v>
      </c>
      <c r="J373" s="17">
        <v>2.6270082126111701E-2</v>
      </c>
      <c r="K373" s="17">
        <v>2.6000835506390301E-2</v>
      </c>
      <c r="L373" s="17">
        <v>3.3892368687347199E-2</v>
      </c>
      <c r="M373" s="17"/>
      <c r="N373" s="17">
        <v>2.21900388482929E-2</v>
      </c>
      <c r="O373" s="17">
        <v>8.4199218384367405E-3</v>
      </c>
      <c r="P373" s="17">
        <v>3.3890482213043298E-2</v>
      </c>
      <c r="Q373" s="17">
        <v>2.0709591714278101E-2</v>
      </c>
      <c r="R373" s="17">
        <v>2.1950375342242701E-2</v>
      </c>
      <c r="S373" s="17">
        <v>3.0395759913395801E-2</v>
      </c>
      <c r="T373" s="17">
        <v>1.3008807466680801E-2</v>
      </c>
      <c r="U373" s="17">
        <v>2.75099736616683E-2</v>
      </c>
      <c r="V373" s="17">
        <v>1.18064647016931E-2</v>
      </c>
      <c r="W373" s="17"/>
      <c r="X373" s="17">
        <v>1.41220226703741E-2</v>
      </c>
      <c r="Y373" s="17">
        <v>2.8340008205747402E-2</v>
      </c>
    </row>
    <row r="374" spans="2:25" x14ac:dyDescent="0.35">
      <c r="B374" t="s">
        <v>90</v>
      </c>
      <c r="C374" s="17">
        <v>0.84404804142237699</v>
      </c>
      <c r="D374" s="17">
        <v>0.83521132481798499</v>
      </c>
      <c r="E374" s="17">
        <v>0.85239559213095895</v>
      </c>
      <c r="F374" s="17"/>
      <c r="G374" s="17">
        <v>0.84397528760235996</v>
      </c>
      <c r="H374" s="17">
        <v>0.85766558258705405</v>
      </c>
      <c r="I374" s="17">
        <v>0.87883171760037104</v>
      </c>
      <c r="J374" s="17">
        <v>0.84958882518486101</v>
      </c>
      <c r="K374" s="17">
        <v>0.84804146529886804</v>
      </c>
      <c r="L374" s="17">
        <v>0.80728681541706404</v>
      </c>
      <c r="M374" s="17"/>
      <c r="N374" s="17">
        <v>0.91452003436209295</v>
      </c>
      <c r="O374" s="17">
        <v>0.954628306544415</v>
      </c>
      <c r="P374" s="17">
        <v>0.82927433163339803</v>
      </c>
      <c r="Q374" s="17">
        <v>0.82618759886240301</v>
      </c>
      <c r="R374" s="17">
        <v>0.82792707234816199</v>
      </c>
      <c r="S374" s="17">
        <v>0.85259353731001397</v>
      </c>
      <c r="T374" s="17">
        <v>0.83740889058535795</v>
      </c>
      <c r="U374" s="17">
        <v>0.83364767766019898</v>
      </c>
      <c r="V374" s="17">
        <v>0.89498707438722802</v>
      </c>
      <c r="W374" s="17"/>
      <c r="X374" s="17">
        <v>0.88346779086133698</v>
      </c>
      <c r="Y374" s="17">
        <v>0.82223447162346697</v>
      </c>
    </row>
    <row r="375" spans="2:25" x14ac:dyDescent="0.35">
      <c r="B375" t="s">
        <v>91</v>
      </c>
      <c r="C375" s="17">
        <v>3.9543741085103001E-2</v>
      </c>
      <c r="D375" s="17">
        <v>4.2650476106161003E-2</v>
      </c>
      <c r="E375" s="17">
        <v>3.6777289641747299E-2</v>
      </c>
      <c r="F375" s="17"/>
      <c r="G375" s="17">
        <v>4.0048427607995103E-2</v>
      </c>
      <c r="H375" s="17">
        <v>3.0403702451807998E-2</v>
      </c>
      <c r="I375" s="17">
        <v>2.1326879916328801E-2</v>
      </c>
      <c r="J375" s="17">
        <v>3.4358541594860702E-2</v>
      </c>
      <c r="K375" s="17">
        <v>5.07970770701449E-2</v>
      </c>
      <c r="L375" s="17">
        <v>5.2588080675722099E-2</v>
      </c>
      <c r="M375" s="17"/>
      <c r="N375" s="17">
        <v>1.65132385975791E-2</v>
      </c>
      <c r="O375" s="17">
        <v>7.3468610740331803E-3</v>
      </c>
      <c r="P375" s="17">
        <v>5.9467255261873103E-2</v>
      </c>
      <c r="Q375" s="17">
        <v>6.0335634092580297E-2</v>
      </c>
      <c r="R375" s="17">
        <v>2.7004979595515999E-2</v>
      </c>
      <c r="S375" s="17">
        <v>3.9338888402089899E-2</v>
      </c>
      <c r="T375" s="17">
        <v>3.4010110838647099E-2</v>
      </c>
      <c r="U375" s="17">
        <v>3.3031846950695498E-2</v>
      </c>
      <c r="V375" s="17">
        <v>2.81703437096898E-2</v>
      </c>
      <c r="W375" s="17"/>
      <c r="X375" s="17">
        <v>2.6640697769203699E-2</v>
      </c>
      <c r="Y375" s="17">
        <v>4.6683853338367297E-2</v>
      </c>
    </row>
    <row r="376" spans="2:25" x14ac:dyDescent="0.35">
      <c r="B376" t="s">
        <v>92</v>
      </c>
      <c r="C376" s="17">
        <v>0.80450430033727405</v>
      </c>
      <c r="D376" s="17">
        <v>0.79256084871182397</v>
      </c>
      <c r="E376" s="17">
        <v>0.81561830248921197</v>
      </c>
      <c r="F376" s="17"/>
      <c r="G376" s="17">
        <v>0.80392685999436497</v>
      </c>
      <c r="H376" s="17">
        <v>0.82726188013524604</v>
      </c>
      <c r="I376" s="17">
        <v>0.85750483768404195</v>
      </c>
      <c r="J376" s="17">
        <v>0.81523028359000105</v>
      </c>
      <c r="K376" s="17">
        <v>0.79724438822872301</v>
      </c>
      <c r="L376" s="17">
        <v>0.75469873474134197</v>
      </c>
      <c r="M376" s="17"/>
      <c r="N376" s="17">
        <v>0.89800679576451303</v>
      </c>
      <c r="O376" s="17">
        <v>0.94728144547038196</v>
      </c>
      <c r="P376" s="17">
        <v>0.76980707637152501</v>
      </c>
      <c r="Q376" s="17">
        <v>0.76585196476982298</v>
      </c>
      <c r="R376" s="17">
        <v>0.80092209275264603</v>
      </c>
      <c r="S376" s="17">
        <v>0.81325464890792398</v>
      </c>
      <c r="T376" s="17">
        <v>0.80339877974671103</v>
      </c>
      <c r="U376" s="17">
        <v>0.80061583070950304</v>
      </c>
      <c r="V376" s="17">
        <v>0.86681673067753795</v>
      </c>
      <c r="W376" s="17"/>
      <c r="X376" s="17">
        <v>0.85682709309213301</v>
      </c>
      <c r="Y376" s="17">
        <v>0.77555061828509997</v>
      </c>
    </row>
    <row r="377" spans="2:25" x14ac:dyDescent="0.35">
      <c r="C377" s="17"/>
      <c r="D377" s="17"/>
      <c r="E377" s="17"/>
      <c r="F377" s="17"/>
      <c r="G377" s="17"/>
      <c r="H377" s="17"/>
      <c r="I377" s="17"/>
      <c r="J377" s="17"/>
      <c r="K377" s="17"/>
      <c r="L377" s="17"/>
      <c r="M377" s="17"/>
      <c r="N377" s="17"/>
      <c r="O377" s="17"/>
      <c r="P377" s="17"/>
      <c r="Q377" s="17"/>
      <c r="R377" s="17"/>
      <c r="S377" s="17"/>
      <c r="T377" s="17"/>
      <c r="U377" s="17"/>
      <c r="V377" s="17"/>
      <c r="W377" s="17"/>
      <c r="X377" s="17"/>
      <c r="Y377" s="17"/>
    </row>
    <row r="378" spans="2:25" x14ac:dyDescent="0.35">
      <c r="B378" s="6" t="s">
        <v>196</v>
      </c>
      <c r="C378" s="17"/>
      <c r="D378" s="17"/>
      <c r="E378" s="17"/>
      <c r="F378" s="17"/>
      <c r="G378" s="17"/>
      <c r="H378" s="17"/>
      <c r="I378" s="17"/>
      <c r="J378" s="17"/>
      <c r="K378" s="17"/>
      <c r="L378" s="17"/>
      <c r="M378" s="17"/>
      <c r="N378" s="17"/>
      <c r="O378" s="17"/>
      <c r="P378" s="17"/>
      <c r="Q378" s="17"/>
      <c r="R378" s="17"/>
      <c r="S378" s="17"/>
      <c r="T378" s="17"/>
      <c r="U378" s="17"/>
      <c r="V378" s="17"/>
      <c r="W378" s="17"/>
      <c r="X378" s="17"/>
      <c r="Y378" s="17"/>
    </row>
    <row r="379" spans="2:25" x14ac:dyDescent="0.35">
      <c r="B379" s="24" t="s">
        <v>50</v>
      </c>
      <c r="C379" s="17"/>
      <c r="D379" s="17"/>
      <c r="E379" s="17"/>
      <c r="F379" s="17"/>
      <c r="G379" s="17"/>
      <c r="H379" s="17"/>
      <c r="I379" s="17"/>
      <c r="J379" s="17"/>
      <c r="K379" s="17"/>
      <c r="L379" s="17"/>
      <c r="M379" s="17"/>
      <c r="N379" s="17"/>
      <c r="O379" s="17"/>
      <c r="P379" s="17"/>
      <c r="Q379" s="17"/>
      <c r="R379" s="17"/>
      <c r="S379" s="17"/>
      <c r="T379" s="17"/>
      <c r="U379" s="17"/>
      <c r="V379" s="17"/>
      <c r="W379" s="17"/>
      <c r="X379" s="17"/>
      <c r="Y379" s="17"/>
    </row>
    <row r="380" spans="2:25" x14ac:dyDescent="0.35">
      <c r="B380" t="s">
        <v>85</v>
      </c>
      <c r="C380" s="17">
        <v>0.27606043262511598</v>
      </c>
      <c r="D380" s="17">
        <v>0.30277769555170703</v>
      </c>
      <c r="E380" s="17">
        <v>0.25095182174439301</v>
      </c>
      <c r="F380" s="17"/>
      <c r="G380" s="17">
        <v>0.44492810482149697</v>
      </c>
      <c r="H380" s="17">
        <v>0.39959003136663801</v>
      </c>
      <c r="I380" s="17">
        <v>0.35236755591771801</v>
      </c>
      <c r="J380" s="17">
        <v>0.285283452410108</v>
      </c>
      <c r="K380" s="17">
        <v>0.21887052460180001</v>
      </c>
      <c r="L380" s="17">
        <v>0.12248276679473299</v>
      </c>
      <c r="M380" s="17"/>
      <c r="N380" s="17">
        <v>0.289955696136936</v>
      </c>
      <c r="O380" s="17">
        <v>0.30419001826353798</v>
      </c>
      <c r="P380" s="17">
        <v>0.20732224667002599</v>
      </c>
      <c r="Q380" s="17">
        <v>0.26426150798319298</v>
      </c>
      <c r="R380" s="17">
        <v>0.22341259718086201</v>
      </c>
      <c r="S380" s="17">
        <v>0.391399884728728</v>
      </c>
      <c r="T380" s="17">
        <v>0.28557173293300098</v>
      </c>
      <c r="U380" s="17">
        <v>0.254813953567535</v>
      </c>
      <c r="V380" s="17">
        <v>0.32744865312346799</v>
      </c>
      <c r="W380" s="17"/>
      <c r="X380" s="17">
        <v>0.38636406347936503</v>
      </c>
      <c r="Y380" s="17">
        <v>0.21502209562507801</v>
      </c>
    </row>
    <row r="381" spans="2:25" x14ac:dyDescent="0.35">
      <c r="B381" t="s">
        <v>86</v>
      </c>
      <c r="C381" s="17">
        <v>0.26999477841687702</v>
      </c>
      <c r="D381" s="17">
        <v>0.28072230142777299</v>
      </c>
      <c r="E381" s="17">
        <v>0.25984885744724201</v>
      </c>
      <c r="F381" s="17"/>
      <c r="G381" s="17">
        <v>0.33383442094022098</v>
      </c>
      <c r="H381" s="17">
        <v>0.33406568538599801</v>
      </c>
      <c r="I381" s="17">
        <v>0.30886787875807298</v>
      </c>
      <c r="J381" s="17">
        <v>0.26801256686305502</v>
      </c>
      <c r="K381" s="17">
        <v>0.25077504111305199</v>
      </c>
      <c r="L381" s="17">
        <v>0.19737813932779899</v>
      </c>
      <c r="M381" s="17"/>
      <c r="N381" s="17">
        <v>0.27842745032399802</v>
      </c>
      <c r="O381" s="17">
        <v>0.228715849733063</v>
      </c>
      <c r="P381" s="17">
        <v>0.239128926171746</v>
      </c>
      <c r="Q381" s="17">
        <v>0.23496047792170099</v>
      </c>
      <c r="R381" s="17">
        <v>0.32326323901177101</v>
      </c>
      <c r="S381" s="17">
        <v>0.25244204986423202</v>
      </c>
      <c r="T381" s="17">
        <v>0.2535091287231</v>
      </c>
      <c r="U381" s="17">
        <v>0.31496097507658299</v>
      </c>
      <c r="V381" s="17">
        <v>0.28960907092843002</v>
      </c>
      <c r="W381" s="17"/>
      <c r="X381" s="17">
        <v>0.29375120244502601</v>
      </c>
      <c r="Y381" s="17">
        <v>0.25684876858459799</v>
      </c>
    </row>
    <row r="382" spans="2:25" x14ac:dyDescent="0.35">
      <c r="B382" t="s">
        <v>181</v>
      </c>
      <c r="C382" s="17">
        <v>0.18776144938230099</v>
      </c>
      <c r="D382" s="17">
        <v>0.191861289934282</v>
      </c>
      <c r="E382" s="17">
        <v>0.18372861328030601</v>
      </c>
      <c r="F382" s="17"/>
      <c r="G382" s="17">
        <v>0.14369043533415199</v>
      </c>
      <c r="H382" s="17">
        <v>0.16204380723541201</v>
      </c>
      <c r="I382" s="17">
        <v>0.17848803504426999</v>
      </c>
      <c r="J382" s="17">
        <v>0.22138261471356899</v>
      </c>
      <c r="K382" s="17">
        <v>0.18350316028031799</v>
      </c>
      <c r="L382" s="17">
        <v>0.205163148264148</v>
      </c>
      <c r="M382" s="17"/>
      <c r="N382" s="17">
        <v>0.163438763905358</v>
      </c>
      <c r="O382" s="17">
        <v>0.13867185585259301</v>
      </c>
      <c r="P382" s="17">
        <v>0.16887822772733299</v>
      </c>
      <c r="Q382" s="17">
        <v>0.174770313581016</v>
      </c>
      <c r="R382" s="17">
        <v>0.219493776931831</v>
      </c>
      <c r="S382" s="17">
        <v>0.14658796767865501</v>
      </c>
      <c r="T382" s="17">
        <v>0.23137008496171699</v>
      </c>
      <c r="U382" s="17">
        <v>0.21509397721190501</v>
      </c>
      <c r="V382" s="17">
        <v>0.15061647160834599</v>
      </c>
      <c r="W382" s="17"/>
      <c r="X382" s="17">
        <v>0.154249652231912</v>
      </c>
      <c r="Y382" s="17">
        <v>0.20630575614809801</v>
      </c>
    </row>
    <row r="383" spans="2:25" x14ac:dyDescent="0.35">
      <c r="B383" t="s">
        <v>88</v>
      </c>
      <c r="C383" s="17">
        <v>8.0335769152260095E-2</v>
      </c>
      <c r="D383" s="17">
        <v>7.0962528396194602E-2</v>
      </c>
      <c r="E383" s="17">
        <v>8.9200026215679101E-2</v>
      </c>
      <c r="F383" s="17"/>
      <c r="G383" s="17">
        <v>4.3439386980725997E-2</v>
      </c>
      <c r="H383" s="17">
        <v>4.9961594831415899E-2</v>
      </c>
      <c r="I383" s="17">
        <v>6.1365974817159302E-2</v>
      </c>
      <c r="J383" s="17">
        <v>7.1170250328886506E-2</v>
      </c>
      <c r="K383" s="17">
        <v>0.10470287114964801</v>
      </c>
      <c r="L383" s="17">
        <v>0.114440266891007</v>
      </c>
      <c r="M383" s="17"/>
      <c r="N383" s="17">
        <v>6.6354098051973606E-2</v>
      </c>
      <c r="O383" s="17">
        <v>0.120410604586155</v>
      </c>
      <c r="P383" s="17">
        <v>9.21313631152125E-2</v>
      </c>
      <c r="Q383" s="17">
        <v>9.4901436563729305E-2</v>
      </c>
      <c r="R383" s="17">
        <v>9.0329806337297799E-2</v>
      </c>
      <c r="S383" s="17">
        <v>5.9813791831364399E-2</v>
      </c>
      <c r="T383" s="17">
        <v>8.1409606241506893E-2</v>
      </c>
      <c r="U383" s="17">
        <v>4.58553509490685E-2</v>
      </c>
      <c r="V383" s="17">
        <v>0.111844324237713</v>
      </c>
      <c r="W383" s="17"/>
      <c r="X383" s="17">
        <v>6.3215015867992802E-2</v>
      </c>
      <c r="Y383" s="17">
        <v>8.9809820917976596E-2</v>
      </c>
    </row>
    <row r="384" spans="2:25" x14ac:dyDescent="0.35">
      <c r="B384" t="s">
        <v>89</v>
      </c>
      <c r="C384" s="17">
        <v>9.1406689456968407E-2</v>
      </c>
      <c r="D384" s="17">
        <v>7.9173041934224406E-2</v>
      </c>
      <c r="E384" s="17">
        <v>0.10328920821837199</v>
      </c>
      <c r="F384" s="17"/>
      <c r="G384" s="17">
        <v>9.7594508954413593E-3</v>
      </c>
      <c r="H384" s="17">
        <v>2.8480984682210001E-2</v>
      </c>
      <c r="I384" s="17">
        <v>4.1185124355428399E-2</v>
      </c>
      <c r="J384" s="17">
        <v>6.2258029874730503E-2</v>
      </c>
      <c r="K384" s="17">
        <v>0.13510009471874099</v>
      </c>
      <c r="L384" s="17">
        <v>0.18241613338509899</v>
      </c>
      <c r="M384" s="17"/>
      <c r="N384" s="17">
        <v>6.8217112589269505E-2</v>
      </c>
      <c r="O384" s="17">
        <v>0.111245732893682</v>
      </c>
      <c r="P384" s="17">
        <v>0.149801869235104</v>
      </c>
      <c r="Q384" s="17">
        <v>0.163850263257001</v>
      </c>
      <c r="R384" s="17">
        <v>5.4089553585736902E-2</v>
      </c>
      <c r="S384" s="17">
        <v>6.4778000223869606E-2</v>
      </c>
      <c r="T384" s="17">
        <v>8.0226073339428494E-2</v>
      </c>
      <c r="U384" s="17">
        <v>3.88488394541582E-2</v>
      </c>
      <c r="V384" s="17">
        <v>8.7279281836481898E-2</v>
      </c>
      <c r="W384" s="17"/>
      <c r="X384" s="17">
        <v>5.0780384488566102E-2</v>
      </c>
      <c r="Y384" s="17">
        <v>0.11388792669751201</v>
      </c>
    </row>
    <row r="385" spans="2:25" x14ac:dyDescent="0.35">
      <c r="B385" t="s">
        <v>69</v>
      </c>
      <c r="C385" s="17">
        <v>9.4440880966477E-2</v>
      </c>
      <c r="D385" s="17">
        <v>7.4503142755819401E-2</v>
      </c>
      <c r="E385" s="17">
        <v>0.11298147309400799</v>
      </c>
      <c r="F385" s="17"/>
      <c r="G385" s="17">
        <v>2.4348201027963302E-2</v>
      </c>
      <c r="H385" s="17">
        <v>2.5857896498325199E-2</v>
      </c>
      <c r="I385" s="17">
        <v>5.77254311073509E-2</v>
      </c>
      <c r="J385" s="17">
        <v>9.1893085809650596E-2</v>
      </c>
      <c r="K385" s="17">
        <v>0.10704830813644101</v>
      </c>
      <c r="L385" s="17">
        <v>0.178119545337213</v>
      </c>
      <c r="M385" s="17"/>
      <c r="N385" s="17">
        <v>0.13360687899246501</v>
      </c>
      <c r="O385" s="17">
        <v>9.6765938670970095E-2</v>
      </c>
      <c r="P385" s="17">
        <v>0.14273736708057699</v>
      </c>
      <c r="Q385" s="17">
        <v>6.7256000693359894E-2</v>
      </c>
      <c r="R385" s="17">
        <v>8.9411026952501194E-2</v>
      </c>
      <c r="S385" s="17">
        <v>8.4978305673151802E-2</v>
      </c>
      <c r="T385" s="17">
        <v>6.7913373801246998E-2</v>
      </c>
      <c r="U385" s="17">
        <v>0.13042690374075</v>
      </c>
      <c r="V385" s="17">
        <v>3.3202198265562498E-2</v>
      </c>
      <c r="W385" s="17"/>
      <c r="X385" s="17">
        <v>5.16396814871386E-2</v>
      </c>
      <c r="Y385" s="17">
        <v>0.118125632026737</v>
      </c>
    </row>
    <row r="386" spans="2:25" x14ac:dyDescent="0.35">
      <c r="B386" t="s">
        <v>90</v>
      </c>
      <c r="C386" s="17">
        <v>0.54605521104199295</v>
      </c>
      <c r="D386" s="17">
        <v>0.58349999697947896</v>
      </c>
      <c r="E386" s="17">
        <v>0.51080067919163497</v>
      </c>
      <c r="F386" s="17"/>
      <c r="G386" s="17">
        <v>0.77876252576171701</v>
      </c>
      <c r="H386" s="17">
        <v>0.73365571675263697</v>
      </c>
      <c r="I386" s="17">
        <v>0.66123543467579204</v>
      </c>
      <c r="J386" s="17">
        <v>0.55329601927316296</v>
      </c>
      <c r="K386" s="17">
        <v>0.469645565714853</v>
      </c>
      <c r="L386" s="17">
        <v>0.31986090612253298</v>
      </c>
      <c r="M386" s="17"/>
      <c r="N386" s="17">
        <v>0.56838314646093402</v>
      </c>
      <c r="O386" s="17">
        <v>0.532905867996601</v>
      </c>
      <c r="P386" s="17">
        <v>0.44645117284177299</v>
      </c>
      <c r="Q386" s="17">
        <v>0.49922198590489397</v>
      </c>
      <c r="R386" s="17">
        <v>0.54667583619263305</v>
      </c>
      <c r="S386" s="17">
        <v>0.64384193459295902</v>
      </c>
      <c r="T386" s="17">
        <v>0.53908086165610103</v>
      </c>
      <c r="U386" s="17">
        <v>0.56977492864411805</v>
      </c>
      <c r="V386" s="17">
        <v>0.61705772405189696</v>
      </c>
      <c r="W386" s="17"/>
      <c r="X386" s="17">
        <v>0.68011526592439098</v>
      </c>
      <c r="Y386" s="17">
        <v>0.471870864209676</v>
      </c>
    </row>
    <row r="387" spans="2:25" x14ac:dyDescent="0.35">
      <c r="B387" t="s">
        <v>91</v>
      </c>
      <c r="C387" s="17">
        <v>0.17174245860922899</v>
      </c>
      <c r="D387" s="17">
        <v>0.15013557033041899</v>
      </c>
      <c r="E387" s="17">
        <v>0.192489234434051</v>
      </c>
      <c r="F387" s="17"/>
      <c r="G387" s="17">
        <v>5.3198837876167401E-2</v>
      </c>
      <c r="H387" s="17">
        <v>7.8442579513625904E-2</v>
      </c>
      <c r="I387" s="17">
        <v>0.10255109917258801</v>
      </c>
      <c r="J387" s="17">
        <v>0.13342828020361699</v>
      </c>
      <c r="K387" s="17">
        <v>0.23980296586838801</v>
      </c>
      <c r="L387" s="17">
        <v>0.29685640027610599</v>
      </c>
      <c r="M387" s="17"/>
      <c r="N387" s="17">
        <v>0.134571210641243</v>
      </c>
      <c r="O387" s="17">
        <v>0.23165633747983699</v>
      </c>
      <c r="P387" s="17">
        <v>0.241933232350317</v>
      </c>
      <c r="Q387" s="17">
        <v>0.25875169982072999</v>
      </c>
      <c r="R387" s="17">
        <v>0.14441935992303501</v>
      </c>
      <c r="S387" s="17">
        <v>0.124591792055234</v>
      </c>
      <c r="T387" s="17">
        <v>0.161635679580935</v>
      </c>
      <c r="U387" s="17">
        <v>8.4704190403226604E-2</v>
      </c>
      <c r="V387" s="17">
        <v>0.19912360607419399</v>
      </c>
      <c r="W387" s="17"/>
      <c r="X387" s="17">
        <v>0.113995400356559</v>
      </c>
      <c r="Y387" s="17">
        <v>0.20369774761548801</v>
      </c>
    </row>
    <row r="388" spans="2:25" x14ac:dyDescent="0.35">
      <c r="B388" t="s">
        <v>92</v>
      </c>
      <c r="C388" s="17">
        <v>0.37431275243276402</v>
      </c>
      <c r="D388" s="17">
        <v>0.43336442664906</v>
      </c>
      <c r="E388" s="17">
        <v>0.31831144475758399</v>
      </c>
      <c r="F388" s="17"/>
      <c r="G388" s="17">
        <v>0.72556368788555003</v>
      </c>
      <c r="H388" s="17">
        <v>0.65521313723901098</v>
      </c>
      <c r="I388" s="17">
        <v>0.55868433550320395</v>
      </c>
      <c r="J388" s="17">
        <v>0.419867739069546</v>
      </c>
      <c r="K388" s="17">
        <v>0.22984259984646399</v>
      </c>
      <c r="L388" s="17">
        <v>2.30045058464266E-2</v>
      </c>
      <c r="M388" s="17"/>
      <c r="N388" s="17">
        <v>0.43381193581969102</v>
      </c>
      <c r="O388" s="17">
        <v>0.30124953051676401</v>
      </c>
      <c r="P388" s="17">
        <v>0.204517940491456</v>
      </c>
      <c r="Q388" s="17">
        <v>0.24047028608416399</v>
      </c>
      <c r="R388" s="17">
        <v>0.40225647626959898</v>
      </c>
      <c r="S388" s="17">
        <v>0.51925014253772495</v>
      </c>
      <c r="T388" s="17">
        <v>0.37744518207516597</v>
      </c>
      <c r="U388" s="17">
        <v>0.48507073824089098</v>
      </c>
      <c r="V388" s="17">
        <v>0.41793411797770302</v>
      </c>
      <c r="W388" s="17"/>
      <c r="X388" s="17">
        <v>0.566119865567832</v>
      </c>
      <c r="Y388" s="17">
        <v>0.26817311659418702</v>
      </c>
    </row>
    <row r="389" spans="2:25" x14ac:dyDescent="0.35">
      <c r="C389" s="17"/>
      <c r="D389" s="17"/>
      <c r="E389" s="17"/>
      <c r="F389" s="17"/>
      <c r="G389" s="17"/>
      <c r="H389" s="17"/>
      <c r="I389" s="17"/>
      <c r="J389" s="17"/>
      <c r="K389" s="17"/>
      <c r="L389" s="17"/>
      <c r="M389" s="17"/>
      <c r="N389" s="17"/>
      <c r="O389" s="17"/>
      <c r="P389" s="17"/>
      <c r="Q389" s="17"/>
      <c r="R389" s="17"/>
      <c r="S389" s="17"/>
      <c r="T389" s="17"/>
      <c r="U389" s="17"/>
      <c r="V389" s="17"/>
      <c r="W389" s="17"/>
      <c r="X389" s="17"/>
      <c r="Y389" s="17"/>
    </row>
    <row r="390" spans="2:25" x14ac:dyDescent="0.35">
      <c r="B390" s="6" t="s">
        <v>197</v>
      </c>
      <c r="C390" s="17"/>
      <c r="D390" s="17"/>
      <c r="E390" s="17"/>
      <c r="F390" s="17"/>
      <c r="G390" s="17"/>
      <c r="H390" s="17"/>
      <c r="I390" s="17"/>
      <c r="J390" s="17"/>
      <c r="K390" s="17"/>
      <c r="L390" s="17"/>
      <c r="M390" s="17"/>
      <c r="N390" s="17"/>
      <c r="O390" s="17"/>
      <c r="P390" s="17"/>
      <c r="Q390" s="17"/>
      <c r="R390" s="17"/>
      <c r="S390" s="17"/>
      <c r="T390" s="17"/>
      <c r="U390" s="17"/>
      <c r="V390" s="17"/>
      <c r="W390" s="17"/>
      <c r="X390" s="17"/>
      <c r="Y390" s="17"/>
    </row>
    <row r="391" spans="2:25" x14ac:dyDescent="0.35">
      <c r="B391" s="24" t="s">
        <v>50</v>
      </c>
      <c r="C391" s="17"/>
      <c r="D391" s="17"/>
      <c r="E391" s="17"/>
      <c r="F391" s="17"/>
      <c r="G391" s="17"/>
      <c r="H391" s="17"/>
      <c r="I391" s="17"/>
      <c r="J391" s="17"/>
      <c r="K391" s="17"/>
      <c r="L391" s="17"/>
      <c r="M391" s="17"/>
      <c r="N391" s="17"/>
      <c r="O391" s="17"/>
      <c r="P391" s="17"/>
      <c r="Q391" s="17"/>
      <c r="R391" s="17"/>
      <c r="S391" s="17"/>
      <c r="T391" s="17"/>
      <c r="U391" s="17"/>
      <c r="V391" s="17"/>
      <c r="W391" s="17"/>
      <c r="X391" s="17"/>
      <c r="Y391" s="17"/>
    </row>
    <row r="392" spans="2:25" x14ac:dyDescent="0.35">
      <c r="B392" t="s">
        <v>85</v>
      </c>
      <c r="C392" s="17">
        <v>0.32453811278327699</v>
      </c>
      <c r="D392" s="17">
        <v>0.38777498067796101</v>
      </c>
      <c r="E392" s="17">
        <v>0.26380986900576398</v>
      </c>
      <c r="F392" s="17"/>
      <c r="G392" s="17">
        <v>0.43846952441562198</v>
      </c>
      <c r="H392" s="17">
        <v>0.44010002238882101</v>
      </c>
      <c r="I392" s="17">
        <v>0.35080594057328202</v>
      </c>
      <c r="J392" s="17">
        <v>0.33547816256516699</v>
      </c>
      <c r="K392" s="17">
        <v>0.28898588832627498</v>
      </c>
      <c r="L392" s="17">
        <v>0.21280371637596199</v>
      </c>
      <c r="M392" s="17"/>
      <c r="N392" s="17">
        <v>0.450611083431739</v>
      </c>
      <c r="O392" s="17">
        <v>0.51204642553628199</v>
      </c>
      <c r="P392" s="17">
        <v>0.235993163307055</v>
      </c>
      <c r="Q392" s="17">
        <v>0.463429880826848</v>
      </c>
      <c r="R392" s="17">
        <v>0.266105673568792</v>
      </c>
      <c r="S392" s="17">
        <v>0.44414721633717402</v>
      </c>
      <c r="T392" s="17">
        <v>0.27572688112795402</v>
      </c>
      <c r="U392" s="17">
        <v>0.20449736799790899</v>
      </c>
      <c r="V392" s="17">
        <v>0.31078495408294898</v>
      </c>
      <c r="W392" s="17"/>
      <c r="X392" s="17">
        <v>0.41449914514695602</v>
      </c>
      <c r="Y392" s="17">
        <v>0.274756688837756</v>
      </c>
    </row>
    <row r="393" spans="2:25" x14ac:dyDescent="0.35">
      <c r="B393" t="s">
        <v>86</v>
      </c>
      <c r="C393" s="17">
        <v>0.21850920426936399</v>
      </c>
      <c r="D393" s="17">
        <v>0.22364113583526801</v>
      </c>
      <c r="E393" s="17">
        <v>0.214023803600872</v>
      </c>
      <c r="F393" s="17"/>
      <c r="G393" s="17">
        <v>0.23614042145699801</v>
      </c>
      <c r="H393" s="17">
        <v>0.262478891325713</v>
      </c>
      <c r="I393" s="17">
        <v>0.25416034397951998</v>
      </c>
      <c r="J393" s="17">
        <v>0.23518622507936299</v>
      </c>
      <c r="K393" s="17">
        <v>0.20019313284169499</v>
      </c>
      <c r="L393" s="17">
        <v>0.163709658156621</v>
      </c>
      <c r="M393" s="17"/>
      <c r="N393" s="17">
        <v>0.26070960458349501</v>
      </c>
      <c r="O393" s="17">
        <v>0.19816159806824499</v>
      </c>
      <c r="P393" s="17">
        <v>0.210797397581405</v>
      </c>
      <c r="Q393" s="17">
        <v>0.192021139517422</v>
      </c>
      <c r="R393" s="17">
        <v>0.27715279448073199</v>
      </c>
      <c r="S393" s="17">
        <v>0.21267611139613499</v>
      </c>
      <c r="T393" s="17">
        <v>0.202053464829238</v>
      </c>
      <c r="U393" s="17">
        <v>0.221948666717772</v>
      </c>
      <c r="V393" s="17">
        <v>0.19280055014007899</v>
      </c>
      <c r="W393" s="17"/>
      <c r="X393" s="17">
        <v>0.241249769939963</v>
      </c>
      <c r="Y393" s="17">
        <v>0.205925336447211</v>
      </c>
    </row>
    <row r="394" spans="2:25" x14ac:dyDescent="0.35">
      <c r="B394" t="s">
        <v>181</v>
      </c>
      <c r="C394" s="17">
        <v>0.16117290201946</v>
      </c>
      <c r="D394" s="17">
        <v>0.16090096587581201</v>
      </c>
      <c r="E394" s="17">
        <v>0.16141099410374801</v>
      </c>
      <c r="F394" s="17"/>
      <c r="G394" s="17">
        <v>0.17835715595861501</v>
      </c>
      <c r="H394" s="17">
        <v>0.156663090239542</v>
      </c>
      <c r="I394" s="17">
        <v>0.17179467223145301</v>
      </c>
      <c r="J394" s="17">
        <v>0.15369042595028301</v>
      </c>
      <c r="K394" s="17">
        <v>0.15424098154475999</v>
      </c>
      <c r="L394" s="17">
        <v>0.16031008278112199</v>
      </c>
      <c r="M394" s="17"/>
      <c r="N394" s="17">
        <v>0.115702647490626</v>
      </c>
      <c r="O394" s="17">
        <v>0.106577073428307</v>
      </c>
      <c r="P394" s="17">
        <v>0.18707884356410701</v>
      </c>
      <c r="Q394" s="17">
        <v>0.124433511201597</v>
      </c>
      <c r="R394" s="17">
        <v>0.17562324672743501</v>
      </c>
      <c r="S394" s="17">
        <v>0.101224397952137</v>
      </c>
      <c r="T394" s="17">
        <v>0.180324517397526</v>
      </c>
      <c r="U394" s="17">
        <v>0.22466361249021999</v>
      </c>
      <c r="V394" s="17">
        <v>0.14575807372535499</v>
      </c>
      <c r="W394" s="17"/>
      <c r="X394" s="17">
        <v>0.14210747074174401</v>
      </c>
      <c r="Y394" s="17">
        <v>0.171723073490407</v>
      </c>
    </row>
    <row r="395" spans="2:25" x14ac:dyDescent="0.35">
      <c r="B395" t="s">
        <v>88</v>
      </c>
      <c r="C395" s="17">
        <v>6.5032786213663304E-2</v>
      </c>
      <c r="D395" s="17">
        <v>5.66736829505173E-2</v>
      </c>
      <c r="E395" s="17">
        <v>7.3162273885542403E-2</v>
      </c>
      <c r="F395" s="17"/>
      <c r="G395" s="17">
        <v>4.6650200450348199E-2</v>
      </c>
      <c r="H395" s="17">
        <v>4.4917082756502302E-2</v>
      </c>
      <c r="I395" s="17">
        <v>6.7050393629870003E-2</v>
      </c>
      <c r="J395" s="17">
        <v>6.8320597256912502E-2</v>
      </c>
      <c r="K395" s="17">
        <v>5.64493469805393E-2</v>
      </c>
      <c r="L395" s="17">
        <v>8.5890864578324302E-2</v>
      </c>
      <c r="M395" s="17"/>
      <c r="N395" s="17">
        <v>4.3865680163837399E-2</v>
      </c>
      <c r="O395" s="17">
        <v>8.1013052060062304E-2</v>
      </c>
      <c r="P395" s="17">
        <v>7.2011112906096506E-2</v>
      </c>
      <c r="Q395" s="17">
        <v>5.3656249219497597E-2</v>
      </c>
      <c r="R395" s="17">
        <v>7.2861762831475205E-2</v>
      </c>
      <c r="S395" s="17">
        <v>3.3521593918321498E-2</v>
      </c>
      <c r="T395" s="17">
        <v>0.10279426048166</v>
      </c>
      <c r="U395" s="17">
        <v>5.23337824035945E-2</v>
      </c>
      <c r="V395" s="17">
        <v>7.5479154572669904E-2</v>
      </c>
      <c r="W395" s="17"/>
      <c r="X395" s="17">
        <v>5.05983226107466E-2</v>
      </c>
      <c r="Y395" s="17">
        <v>7.3020335190848204E-2</v>
      </c>
    </row>
    <row r="396" spans="2:25" x14ac:dyDescent="0.35">
      <c r="B396" t="s">
        <v>89</v>
      </c>
      <c r="C396" s="17">
        <v>8.9296368844201598E-2</v>
      </c>
      <c r="D396" s="17">
        <v>6.6239025156283396E-2</v>
      </c>
      <c r="E396" s="17">
        <v>0.111359877348714</v>
      </c>
      <c r="F396" s="17"/>
      <c r="G396" s="17">
        <v>2.99667307565708E-2</v>
      </c>
      <c r="H396" s="17">
        <v>4.36059559746673E-2</v>
      </c>
      <c r="I396" s="17">
        <v>5.1227217295507499E-2</v>
      </c>
      <c r="J396" s="17">
        <v>7.4388458713535999E-2</v>
      </c>
      <c r="K396" s="17">
        <v>0.126123528708115</v>
      </c>
      <c r="L396" s="17">
        <v>0.14879025241414501</v>
      </c>
      <c r="M396" s="17"/>
      <c r="N396" s="17">
        <v>3.6539280332495899E-2</v>
      </c>
      <c r="O396" s="17">
        <v>3.8224240032095902E-2</v>
      </c>
      <c r="P396" s="17">
        <v>0.121694774974415</v>
      </c>
      <c r="Q396" s="17">
        <v>8.9059199838233002E-2</v>
      </c>
      <c r="R396" s="17">
        <v>6.8719067498530198E-2</v>
      </c>
      <c r="S396" s="17">
        <v>7.2967294990713999E-2</v>
      </c>
      <c r="T396" s="17">
        <v>0.11140330660377</v>
      </c>
      <c r="U396" s="17">
        <v>6.4341614608546496E-2</v>
      </c>
      <c r="V396" s="17">
        <v>0.16074916690146801</v>
      </c>
      <c r="W396" s="17"/>
      <c r="X396" s="17">
        <v>6.2307204246418203E-2</v>
      </c>
      <c r="Y396" s="17">
        <v>0.10423126909463699</v>
      </c>
    </row>
    <row r="397" spans="2:25" x14ac:dyDescent="0.35">
      <c r="B397" t="s">
        <v>69</v>
      </c>
      <c r="C397" s="17">
        <v>0.14145062587003299</v>
      </c>
      <c r="D397" s="17">
        <v>0.104770209504158</v>
      </c>
      <c r="E397" s="17">
        <v>0.17623318205535901</v>
      </c>
      <c r="F397" s="17"/>
      <c r="G397" s="17">
        <v>7.0415966961845697E-2</v>
      </c>
      <c r="H397" s="17">
        <v>5.2234957314754298E-2</v>
      </c>
      <c r="I397" s="17">
        <v>0.104961432290367</v>
      </c>
      <c r="J397" s="17">
        <v>0.13293613043473901</v>
      </c>
      <c r="K397" s="17">
        <v>0.174007121598616</v>
      </c>
      <c r="L397" s="17">
        <v>0.228495425693826</v>
      </c>
      <c r="M397" s="17"/>
      <c r="N397" s="17">
        <v>9.2571703997807106E-2</v>
      </c>
      <c r="O397" s="17">
        <v>6.3977610875008098E-2</v>
      </c>
      <c r="P397" s="17">
        <v>0.172424707666922</v>
      </c>
      <c r="Q397" s="17">
        <v>7.7400019396402203E-2</v>
      </c>
      <c r="R397" s="17">
        <v>0.13953745489303501</v>
      </c>
      <c r="S397" s="17">
        <v>0.135463385405518</v>
      </c>
      <c r="T397" s="17">
        <v>0.12769756955985201</v>
      </c>
      <c r="U397" s="17">
        <v>0.232214955781958</v>
      </c>
      <c r="V397" s="17">
        <v>0.11442810057748</v>
      </c>
      <c r="W397" s="17"/>
      <c r="X397" s="17">
        <v>8.9238087314172598E-2</v>
      </c>
      <c r="Y397" s="17">
        <v>0.17034329693914099</v>
      </c>
    </row>
    <row r="398" spans="2:25" x14ac:dyDescent="0.35">
      <c r="B398" t="s">
        <v>90</v>
      </c>
      <c r="C398" s="17">
        <v>0.54304731705264198</v>
      </c>
      <c r="D398" s="17">
        <v>0.61141611651322902</v>
      </c>
      <c r="E398" s="17">
        <v>0.47783367260663601</v>
      </c>
      <c r="F398" s="17"/>
      <c r="G398" s="17">
        <v>0.67460994587262002</v>
      </c>
      <c r="H398" s="17">
        <v>0.70257891371453496</v>
      </c>
      <c r="I398" s="17">
        <v>0.60496628455280199</v>
      </c>
      <c r="J398" s="17">
        <v>0.57066438764452998</v>
      </c>
      <c r="K398" s="17">
        <v>0.48917902116797002</v>
      </c>
      <c r="L398" s="17">
        <v>0.37651337453258299</v>
      </c>
      <c r="M398" s="17"/>
      <c r="N398" s="17">
        <v>0.71132068801523396</v>
      </c>
      <c r="O398" s="17">
        <v>0.71020802360452695</v>
      </c>
      <c r="P398" s="17">
        <v>0.44679056088845898</v>
      </c>
      <c r="Q398" s="17">
        <v>0.65545102034427005</v>
      </c>
      <c r="R398" s="17">
        <v>0.54325846804952405</v>
      </c>
      <c r="S398" s="17">
        <v>0.65682332773330898</v>
      </c>
      <c r="T398" s="17">
        <v>0.47778034595719199</v>
      </c>
      <c r="U398" s="17">
        <v>0.42644603471568099</v>
      </c>
      <c r="V398" s="17">
        <v>0.50358550422302695</v>
      </c>
      <c r="W398" s="17"/>
      <c r="X398" s="17">
        <v>0.65574891508691902</v>
      </c>
      <c r="Y398" s="17">
        <v>0.48068202528496701</v>
      </c>
    </row>
    <row r="399" spans="2:25" x14ac:dyDescent="0.35">
      <c r="B399" t="s">
        <v>91</v>
      </c>
      <c r="C399" s="17">
        <v>0.15432915505786499</v>
      </c>
      <c r="D399" s="17">
        <v>0.12291270810680099</v>
      </c>
      <c r="E399" s="17">
        <v>0.184522151234256</v>
      </c>
      <c r="F399" s="17"/>
      <c r="G399" s="17">
        <v>7.6616931206918898E-2</v>
      </c>
      <c r="H399" s="17">
        <v>8.8523038731169498E-2</v>
      </c>
      <c r="I399" s="17">
        <v>0.118277610925378</v>
      </c>
      <c r="J399" s="17">
        <v>0.142709055970449</v>
      </c>
      <c r="K399" s="17">
        <v>0.18257287568865399</v>
      </c>
      <c r="L399" s="17">
        <v>0.23468111699246899</v>
      </c>
      <c r="M399" s="17"/>
      <c r="N399" s="17">
        <v>8.0404960496333305E-2</v>
      </c>
      <c r="O399" s="17">
        <v>0.119237292092158</v>
      </c>
      <c r="P399" s="17">
        <v>0.19370588788051099</v>
      </c>
      <c r="Q399" s="17">
        <v>0.14271544905773101</v>
      </c>
      <c r="R399" s="17">
        <v>0.14158083033000499</v>
      </c>
      <c r="S399" s="17">
        <v>0.106488888909036</v>
      </c>
      <c r="T399" s="17">
        <v>0.21419756708543</v>
      </c>
      <c r="U399" s="17">
        <v>0.116675397012141</v>
      </c>
      <c r="V399" s="17">
        <v>0.236228321474138</v>
      </c>
      <c r="W399" s="17"/>
      <c r="X399" s="17">
        <v>0.112905526857165</v>
      </c>
      <c r="Y399" s="17">
        <v>0.177251604285485</v>
      </c>
    </row>
    <row r="400" spans="2:25" x14ac:dyDescent="0.35">
      <c r="B400" t="s">
        <v>92</v>
      </c>
      <c r="C400" s="17">
        <v>0.38871816199477699</v>
      </c>
      <c r="D400" s="17">
        <v>0.48850340840642897</v>
      </c>
      <c r="E400" s="17">
        <v>0.29331152137237998</v>
      </c>
      <c r="F400" s="17"/>
      <c r="G400" s="17">
        <v>0.59799301466570098</v>
      </c>
      <c r="H400" s="17">
        <v>0.614055874983365</v>
      </c>
      <c r="I400" s="17">
        <v>0.48668867362742402</v>
      </c>
      <c r="J400" s="17">
        <v>0.42795533167408101</v>
      </c>
      <c r="K400" s="17">
        <v>0.30660614547931597</v>
      </c>
      <c r="L400" s="17">
        <v>0.141832257540114</v>
      </c>
      <c r="M400" s="17"/>
      <c r="N400" s="17">
        <v>0.63091572751890002</v>
      </c>
      <c r="O400" s="17">
        <v>0.59097073151236901</v>
      </c>
      <c r="P400" s="17">
        <v>0.25308467300794801</v>
      </c>
      <c r="Q400" s="17">
        <v>0.51273557128654002</v>
      </c>
      <c r="R400" s="17">
        <v>0.40167763771951898</v>
      </c>
      <c r="S400" s="17">
        <v>0.55033443882427302</v>
      </c>
      <c r="T400" s="17">
        <v>0.26358277887176201</v>
      </c>
      <c r="U400" s="17">
        <v>0.30977063770354002</v>
      </c>
      <c r="V400" s="17">
        <v>0.26735718274888998</v>
      </c>
      <c r="W400" s="17"/>
      <c r="X400" s="17">
        <v>0.54284338822975398</v>
      </c>
      <c r="Y400" s="17">
        <v>0.30343042099948198</v>
      </c>
    </row>
    <row r="401" spans="2:25" x14ac:dyDescent="0.35">
      <c r="C401" s="17"/>
      <c r="D401" s="17"/>
      <c r="E401" s="17"/>
      <c r="F401" s="17"/>
      <c r="G401" s="17"/>
      <c r="H401" s="17"/>
      <c r="I401" s="17"/>
      <c r="J401" s="17"/>
      <c r="K401" s="17"/>
      <c r="L401" s="17"/>
      <c r="M401" s="17"/>
      <c r="N401" s="17"/>
      <c r="O401" s="17"/>
      <c r="P401" s="17"/>
      <c r="Q401" s="17"/>
      <c r="R401" s="17"/>
      <c r="S401" s="17"/>
      <c r="T401" s="17"/>
      <c r="U401" s="17"/>
      <c r="V401" s="17"/>
      <c r="W401" s="17"/>
      <c r="X401" s="17"/>
      <c r="Y401" s="17"/>
    </row>
    <row r="402" spans="2:25" x14ac:dyDescent="0.35">
      <c r="B402" s="6" t="s">
        <v>198</v>
      </c>
      <c r="C402" s="17"/>
      <c r="D402" s="17"/>
      <c r="E402" s="17"/>
      <c r="F402" s="17"/>
      <c r="G402" s="17"/>
      <c r="H402" s="17"/>
      <c r="I402" s="17"/>
      <c r="J402" s="17"/>
      <c r="K402" s="17"/>
      <c r="L402" s="17"/>
      <c r="M402" s="17"/>
      <c r="N402" s="17"/>
      <c r="O402" s="17"/>
      <c r="P402" s="17"/>
      <c r="Q402" s="17"/>
      <c r="R402" s="17"/>
      <c r="S402" s="17"/>
      <c r="T402" s="17"/>
      <c r="U402" s="17"/>
      <c r="V402" s="17"/>
      <c r="W402" s="17"/>
      <c r="X402" s="17"/>
      <c r="Y402" s="17"/>
    </row>
    <row r="403" spans="2:25" x14ac:dyDescent="0.35">
      <c r="B403" s="24" t="s">
        <v>50</v>
      </c>
      <c r="C403" s="17"/>
      <c r="D403" s="17"/>
      <c r="E403" s="17"/>
      <c r="F403" s="17"/>
      <c r="G403" s="17"/>
      <c r="H403" s="17"/>
      <c r="I403" s="17"/>
      <c r="J403" s="17"/>
      <c r="K403" s="17"/>
      <c r="L403" s="17"/>
      <c r="M403" s="17"/>
      <c r="N403" s="17"/>
      <c r="O403" s="17"/>
      <c r="P403" s="17"/>
      <c r="Q403" s="17"/>
      <c r="R403" s="17"/>
      <c r="S403" s="17"/>
      <c r="T403" s="17"/>
      <c r="U403" s="17"/>
      <c r="V403" s="17"/>
      <c r="W403" s="17"/>
      <c r="X403" s="17"/>
      <c r="Y403" s="17"/>
    </row>
    <row r="404" spans="2:25" x14ac:dyDescent="0.35">
      <c r="B404" t="s">
        <v>85</v>
      </c>
      <c r="C404" s="17">
        <v>0.18821625002527101</v>
      </c>
      <c r="D404" s="17">
        <v>0.21408277930313599</v>
      </c>
      <c r="E404" s="17">
        <v>0.16273879079207201</v>
      </c>
      <c r="F404" s="17"/>
      <c r="G404" s="17">
        <v>0.37076063692711703</v>
      </c>
      <c r="H404" s="17">
        <v>0.27519136182982601</v>
      </c>
      <c r="I404" s="17">
        <v>0.24521313538654099</v>
      </c>
      <c r="J404" s="17">
        <v>0.182658869268397</v>
      </c>
      <c r="K404" s="17">
        <v>0.13409712022838099</v>
      </c>
      <c r="L404" s="17">
        <v>7.1654077388050894E-2</v>
      </c>
      <c r="M404" s="17"/>
      <c r="N404" s="17">
        <v>0.185429663309232</v>
      </c>
      <c r="O404" s="17">
        <v>0.13628348236321799</v>
      </c>
      <c r="P404" s="17">
        <v>0.15804096757467501</v>
      </c>
      <c r="Q404" s="17">
        <v>0.204203286151591</v>
      </c>
      <c r="R404" s="17">
        <v>0.15087588384265899</v>
      </c>
      <c r="S404" s="17">
        <v>0.16988711601119599</v>
      </c>
      <c r="T404" s="17">
        <v>0.24015487558302301</v>
      </c>
      <c r="U404" s="17">
        <v>0.220492121886711</v>
      </c>
      <c r="V404" s="17">
        <v>0.17930646397208</v>
      </c>
      <c r="W404" s="17"/>
      <c r="X404" s="17">
        <v>0.22656104485547601</v>
      </c>
      <c r="Y404" s="17">
        <v>0.166997524123709</v>
      </c>
    </row>
    <row r="405" spans="2:25" x14ac:dyDescent="0.35">
      <c r="B405" t="s">
        <v>86</v>
      </c>
      <c r="C405" s="17">
        <v>0.24274434628401201</v>
      </c>
      <c r="D405" s="17">
        <v>0.26833722300361001</v>
      </c>
      <c r="E405" s="17">
        <v>0.219054316480014</v>
      </c>
      <c r="F405" s="17"/>
      <c r="G405" s="17">
        <v>0.315923048239106</v>
      </c>
      <c r="H405" s="17">
        <v>0.33057830411022399</v>
      </c>
      <c r="I405" s="17">
        <v>0.30654825167587002</v>
      </c>
      <c r="J405" s="17">
        <v>0.247679914386533</v>
      </c>
      <c r="K405" s="17">
        <v>0.19439132253100999</v>
      </c>
      <c r="L405" s="17">
        <v>0.15104174204449899</v>
      </c>
      <c r="M405" s="17"/>
      <c r="N405" s="17">
        <v>0.25640667321991101</v>
      </c>
      <c r="O405" s="17">
        <v>0.19455935931479501</v>
      </c>
      <c r="P405" s="17">
        <v>0.18032813672589901</v>
      </c>
      <c r="Q405" s="17">
        <v>0.22651685159214399</v>
      </c>
      <c r="R405" s="17">
        <v>0.28402345395508299</v>
      </c>
      <c r="S405" s="17">
        <v>0.20570633255389401</v>
      </c>
      <c r="T405" s="17">
        <v>0.271489746466194</v>
      </c>
      <c r="U405" s="17">
        <v>0.317372870512385</v>
      </c>
      <c r="V405" s="17">
        <v>0.18672210255504901</v>
      </c>
      <c r="W405" s="17"/>
      <c r="X405" s="17">
        <v>0.26079140720062599</v>
      </c>
      <c r="Y405" s="17">
        <v>0.232757706881868</v>
      </c>
    </row>
    <row r="406" spans="2:25" x14ac:dyDescent="0.35">
      <c r="B406" t="s">
        <v>181</v>
      </c>
      <c r="C406" s="17">
        <v>0.206136672853314</v>
      </c>
      <c r="D406" s="17">
        <v>0.212146756571299</v>
      </c>
      <c r="E406" s="17">
        <v>0.20034663211675299</v>
      </c>
      <c r="F406" s="17"/>
      <c r="G406" s="17">
        <v>0.16404130900126501</v>
      </c>
      <c r="H406" s="17">
        <v>0.21990054106743101</v>
      </c>
      <c r="I406" s="17">
        <v>0.20386350092452901</v>
      </c>
      <c r="J406" s="17">
        <v>0.22456779204756999</v>
      </c>
      <c r="K406" s="17">
        <v>0.215222947618702</v>
      </c>
      <c r="L406" s="17">
        <v>0.19653680493831199</v>
      </c>
      <c r="M406" s="17"/>
      <c r="N406" s="17">
        <v>0.19251256832653901</v>
      </c>
      <c r="O406" s="17">
        <v>0.26861450130137998</v>
      </c>
      <c r="P406" s="17">
        <v>0.182301117291259</v>
      </c>
      <c r="Q406" s="17">
        <v>0.20082740088756901</v>
      </c>
      <c r="R406" s="17">
        <v>0.24008214799528299</v>
      </c>
      <c r="S406" s="17">
        <v>0.185014146001727</v>
      </c>
      <c r="T406" s="17">
        <v>0.22551074175406199</v>
      </c>
      <c r="U406" s="17">
        <v>0.20633375537394499</v>
      </c>
      <c r="V406" s="17">
        <v>0.17406254013383499</v>
      </c>
      <c r="W406" s="17"/>
      <c r="X406" s="17">
        <v>0.20062141810902201</v>
      </c>
      <c r="Y406" s="17">
        <v>0.20918863021061901</v>
      </c>
    </row>
    <row r="407" spans="2:25" x14ac:dyDescent="0.35">
      <c r="B407" t="s">
        <v>88</v>
      </c>
      <c r="C407" s="17">
        <v>0.12564921982761901</v>
      </c>
      <c r="D407" s="17">
        <v>0.119151919784971</v>
      </c>
      <c r="E407" s="17">
        <v>0.13226855609216201</v>
      </c>
      <c r="F407" s="17"/>
      <c r="G407" s="17">
        <v>9.5849359910271395E-2</v>
      </c>
      <c r="H407" s="17">
        <v>0.10883685953363501</v>
      </c>
      <c r="I407" s="17">
        <v>0.11792411277411199</v>
      </c>
      <c r="J407" s="17">
        <v>0.12506357030637499</v>
      </c>
      <c r="K407" s="17">
        <v>0.123421552150782</v>
      </c>
      <c r="L407" s="17">
        <v>0.15351359340451901</v>
      </c>
      <c r="M407" s="17"/>
      <c r="N407" s="17">
        <v>0.14425549641952401</v>
      </c>
      <c r="O407" s="17">
        <v>0.17232612377480699</v>
      </c>
      <c r="P407" s="17">
        <v>0.13986871092943901</v>
      </c>
      <c r="Q407" s="17">
        <v>0.15015140604501701</v>
      </c>
      <c r="R407" s="17">
        <v>0.11935707798195801</v>
      </c>
      <c r="S407" s="17">
        <v>0.12726005301014201</v>
      </c>
      <c r="T407" s="17">
        <v>0.113486509725651</v>
      </c>
      <c r="U407" s="17">
        <v>7.9784025368664704E-2</v>
      </c>
      <c r="V407" s="17">
        <v>0.15321254524045599</v>
      </c>
      <c r="W407" s="17"/>
      <c r="X407" s="17">
        <v>0.128335750225442</v>
      </c>
      <c r="Y407" s="17">
        <v>0.12416258383464999</v>
      </c>
    </row>
    <row r="408" spans="2:25" x14ac:dyDescent="0.35">
      <c r="B408" t="s">
        <v>89</v>
      </c>
      <c r="C408" s="17">
        <v>0.148190125610933</v>
      </c>
      <c r="D408" s="17">
        <v>0.119578736911471</v>
      </c>
      <c r="E408" s="17">
        <v>0.175435880244764</v>
      </c>
      <c r="F408" s="17"/>
      <c r="G408" s="17">
        <v>3.4389712119720001E-2</v>
      </c>
      <c r="H408" s="17">
        <v>4.0172739921622902E-2</v>
      </c>
      <c r="I408" s="17">
        <v>7.2895697062872106E-2</v>
      </c>
      <c r="J408" s="17">
        <v>0.138227249410668</v>
      </c>
      <c r="K408" s="17">
        <v>0.216530814054432</v>
      </c>
      <c r="L408" s="17">
        <v>0.26460801763084602</v>
      </c>
      <c r="M408" s="17"/>
      <c r="N408" s="17">
        <v>0.13640761798699599</v>
      </c>
      <c r="O408" s="17">
        <v>0.174889859956321</v>
      </c>
      <c r="P408" s="17">
        <v>0.22098533006881399</v>
      </c>
      <c r="Q408" s="17">
        <v>0.15929711773765001</v>
      </c>
      <c r="R408" s="17">
        <v>0.118979593070498</v>
      </c>
      <c r="S408" s="17">
        <v>0.20005728392234701</v>
      </c>
      <c r="T408" s="17">
        <v>8.3226661732058199E-2</v>
      </c>
      <c r="U408" s="17">
        <v>6.53153444906764E-2</v>
      </c>
      <c r="V408" s="17">
        <v>0.244536274704139</v>
      </c>
      <c r="W408" s="17"/>
      <c r="X408" s="17">
        <v>0.12867031141600799</v>
      </c>
      <c r="Y408" s="17">
        <v>0.15899173737820399</v>
      </c>
    </row>
    <row r="409" spans="2:25" x14ac:dyDescent="0.35">
      <c r="B409" t="s">
        <v>69</v>
      </c>
      <c r="C409" s="17">
        <v>8.90633853988511E-2</v>
      </c>
      <c r="D409" s="17">
        <v>6.6702584425512204E-2</v>
      </c>
      <c r="E409" s="17">
        <v>0.110155824274235</v>
      </c>
      <c r="F409" s="17"/>
      <c r="G409" s="17">
        <v>1.9035933802520399E-2</v>
      </c>
      <c r="H409" s="17">
        <v>2.5320193537260598E-2</v>
      </c>
      <c r="I409" s="17">
        <v>5.3555302176076201E-2</v>
      </c>
      <c r="J409" s="17">
        <v>8.18026045804571E-2</v>
      </c>
      <c r="K409" s="17">
        <v>0.11633624341669301</v>
      </c>
      <c r="L409" s="17">
        <v>0.162645764593773</v>
      </c>
      <c r="M409" s="17"/>
      <c r="N409" s="17">
        <v>8.4987980737798202E-2</v>
      </c>
      <c r="O409" s="17">
        <v>5.33266732894793E-2</v>
      </c>
      <c r="P409" s="17">
        <v>0.118475737409913</v>
      </c>
      <c r="Q409" s="17">
        <v>5.90039375860298E-2</v>
      </c>
      <c r="R409" s="17">
        <v>8.6681843154518906E-2</v>
      </c>
      <c r="S409" s="17">
        <v>0.112075068500695</v>
      </c>
      <c r="T409" s="17">
        <v>6.6131464739012796E-2</v>
      </c>
      <c r="U409" s="17">
        <v>0.11070188236761699</v>
      </c>
      <c r="V409" s="17">
        <v>6.2160073394441497E-2</v>
      </c>
      <c r="W409" s="17"/>
      <c r="X409" s="17">
        <v>5.5020068193426599E-2</v>
      </c>
      <c r="Y409" s="17">
        <v>0.10790181757094899</v>
      </c>
    </row>
    <row r="410" spans="2:25" x14ac:dyDescent="0.35">
      <c r="B410" t="s">
        <v>90</v>
      </c>
      <c r="C410" s="17">
        <v>0.43096059630928302</v>
      </c>
      <c r="D410" s="17">
        <v>0.48242000230674598</v>
      </c>
      <c r="E410" s="17">
        <v>0.38179310727208599</v>
      </c>
      <c r="F410" s="17"/>
      <c r="G410" s="17">
        <v>0.68668368516622302</v>
      </c>
      <c r="H410" s="17">
        <v>0.60576966594005</v>
      </c>
      <c r="I410" s="17">
        <v>0.55176138706241096</v>
      </c>
      <c r="J410" s="17">
        <v>0.430338783654929</v>
      </c>
      <c r="K410" s="17">
        <v>0.32848844275939199</v>
      </c>
      <c r="L410" s="17">
        <v>0.22269581943255001</v>
      </c>
      <c r="M410" s="17"/>
      <c r="N410" s="17">
        <v>0.441836336529142</v>
      </c>
      <c r="O410" s="17">
        <v>0.33084284167801298</v>
      </c>
      <c r="P410" s="17">
        <v>0.33836910430057399</v>
      </c>
      <c r="Q410" s="17">
        <v>0.43072013774373402</v>
      </c>
      <c r="R410" s="17">
        <v>0.43489933779774198</v>
      </c>
      <c r="S410" s="17">
        <v>0.37559344856508903</v>
      </c>
      <c r="T410" s="17">
        <v>0.51164462204921601</v>
      </c>
      <c r="U410" s="17">
        <v>0.53786499239909602</v>
      </c>
      <c r="V410" s="17">
        <v>0.36602856652712901</v>
      </c>
      <c r="W410" s="17"/>
      <c r="X410" s="17">
        <v>0.487352452056102</v>
      </c>
      <c r="Y410" s="17">
        <v>0.39975523100557703</v>
      </c>
    </row>
    <row r="411" spans="2:25" x14ac:dyDescent="0.35">
      <c r="B411" t="s">
        <v>91</v>
      </c>
      <c r="C411" s="17">
        <v>0.27383934543855198</v>
      </c>
      <c r="D411" s="17">
        <v>0.238730656696442</v>
      </c>
      <c r="E411" s="17">
        <v>0.30770443633692601</v>
      </c>
      <c r="F411" s="17"/>
      <c r="G411" s="17">
        <v>0.13023907202999099</v>
      </c>
      <c r="H411" s="17">
        <v>0.14900959945525799</v>
      </c>
      <c r="I411" s="17">
        <v>0.19081980983698399</v>
      </c>
      <c r="J411" s="17">
        <v>0.26329081971704299</v>
      </c>
      <c r="K411" s="17">
        <v>0.33995236620521402</v>
      </c>
      <c r="L411" s="17">
        <v>0.41812161103536399</v>
      </c>
      <c r="M411" s="17"/>
      <c r="N411" s="17">
        <v>0.28066311440651998</v>
      </c>
      <c r="O411" s="17">
        <v>0.347215983731128</v>
      </c>
      <c r="P411" s="17">
        <v>0.36085404099825302</v>
      </c>
      <c r="Q411" s="17">
        <v>0.30944852378266702</v>
      </c>
      <c r="R411" s="17">
        <v>0.23833667105245601</v>
      </c>
      <c r="S411" s="17">
        <v>0.32731733693248899</v>
      </c>
      <c r="T411" s="17">
        <v>0.196713171457709</v>
      </c>
      <c r="U411" s="17">
        <v>0.14509936985934099</v>
      </c>
      <c r="V411" s="17">
        <v>0.39774881994459499</v>
      </c>
      <c r="W411" s="17"/>
      <c r="X411" s="17">
        <v>0.25700606164144901</v>
      </c>
      <c r="Y411" s="17">
        <v>0.283154321212854</v>
      </c>
    </row>
    <row r="412" spans="2:25" x14ac:dyDescent="0.35">
      <c r="B412" t="s">
        <v>92</v>
      </c>
      <c r="C412" s="17">
        <v>0.15712125087073001</v>
      </c>
      <c r="D412" s="17">
        <v>0.243689345610304</v>
      </c>
      <c r="E412" s="17">
        <v>7.4088670935159306E-2</v>
      </c>
      <c r="F412" s="17"/>
      <c r="G412" s="17">
        <v>0.55644461313623195</v>
      </c>
      <c r="H412" s="17">
        <v>0.456760066484792</v>
      </c>
      <c r="I412" s="17">
        <v>0.36094157722542702</v>
      </c>
      <c r="J412" s="17">
        <v>0.16704796393788601</v>
      </c>
      <c r="K412" s="17">
        <v>-1.1463923445822E-2</v>
      </c>
      <c r="L412" s="17">
        <v>-0.19542579160281401</v>
      </c>
      <c r="M412" s="17"/>
      <c r="N412" s="17">
        <v>0.161173222122622</v>
      </c>
      <c r="O412" s="17">
        <v>-1.63731420531146E-2</v>
      </c>
      <c r="P412" s="17">
        <v>-2.2484936697679401E-2</v>
      </c>
      <c r="Q412" s="17">
        <v>0.121271613961067</v>
      </c>
      <c r="R412" s="17">
        <v>0.196562666745286</v>
      </c>
      <c r="S412" s="17">
        <v>4.8276111632600899E-2</v>
      </c>
      <c r="T412" s="17">
        <v>0.31493145059150801</v>
      </c>
      <c r="U412" s="17">
        <v>0.392765622539755</v>
      </c>
      <c r="V412" s="17">
        <v>-3.1720253417465802E-2</v>
      </c>
      <c r="W412" s="17"/>
      <c r="X412" s="17">
        <v>0.23034639041465299</v>
      </c>
      <c r="Y412" s="17">
        <v>0.116600909792723</v>
      </c>
    </row>
    <row r="413" spans="2:25" x14ac:dyDescent="0.35">
      <c r="C413" s="17"/>
      <c r="D413" s="17"/>
      <c r="E413" s="17"/>
      <c r="F413" s="17"/>
      <c r="G413" s="17"/>
      <c r="H413" s="17"/>
      <c r="I413" s="17"/>
      <c r="J413" s="17"/>
      <c r="K413" s="17"/>
      <c r="L413" s="17"/>
      <c r="M413" s="17"/>
      <c r="N413" s="17"/>
      <c r="O413" s="17"/>
      <c r="P413" s="17"/>
      <c r="Q413" s="17"/>
      <c r="R413" s="17"/>
      <c r="S413" s="17"/>
      <c r="T413" s="17"/>
      <c r="U413" s="17"/>
      <c r="V413" s="17"/>
      <c r="W413" s="17"/>
      <c r="X413" s="17"/>
      <c r="Y413" s="17"/>
    </row>
    <row r="414" spans="2:25" x14ac:dyDescent="0.35">
      <c r="B414" s="6" t="s">
        <v>199</v>
      </c>
      <c r="C414" s="17"/>
      <c r="D414" s="17"/>
      <c r="E414" s="17"/>
      <c r="F414" s="17"/>
      <c r="G414" s="17"/>
      <c r="H414" s="17"/>
      <c r="I414" s="17"/>
      <c r="J414" s="17"/>
      <c r="K414" s="17"/>
      <c r="L414" s="17"/>
      <c r="M414" s="17"/>
      <c r="N414" s="17"/>
      <c r="O414" s="17"/>
      <c r="P414" s="17"/>
      <c r="Q414" s="17"/>
      <c r="R414" s="17"/>
      <c r="S414" s="17"/>
      <c r="T414" s="17"/>
      <c r="U414" s="17"/>
      <c r="V414" s="17"/>
      <c r="W414" s="17"/>
      <c r="X414" s="17"/>
      <c r="Y414" s="17"/>
    </row>
    <row r="415" spans="2:25" x14ac:dyDescent="0.35">
      <c r="B415" s="24" t="s">
        <v>50</v>
      </c>
      <c r="C415" s="17"/>
      <c r="D415" s="17"/>
      <c r="E415" s="17"/>
      <c r="F415" s="17"/>
      <c r="G415" s="17"/>
      <c r="H415" s="17"/>
      <c r="I415" s="17"/>
      <c r="J415" s="17"/>
      <c r="K415" s="17"/>
      <c r="L415" s="17"/>
      <c r="M415" s="17"/>
      <c r="N415" s="17"/>
      <c r="O415" s="17"/>
      <c r="P415" s="17"/>
      <c r="Q415" s="17"/>
      <c r="R415" s="17"/>
      <c r="S415" s="17"/>
      <c r="T415" s="17"/>
      <c r="U415" s="17"/>
      <c r="V415" s="17"/>
      <c r="W415" s="17"/>
      <c r="X415" s="17"/>
      <c r="Y415" s="17"/>
    </row>
    <row r="416" spans="2:25" x14ac:dyDescent="0.35">
      <c r="B416" t="s">
        <v>85</v>
      </c>
      <c r="C416" s="17">
        <v>9.8461760854904504E-2</v>
      </c>
      <c r="D416" s="17">
        <v>0.125806851914395</v>
      </c>
      <c r="E416" s="17">
        <v>7.3113061830849202E-2</v>
      </c>
      <c r="F416" s="17"/>
      <c r="G416" s="17">
        <v>0.132593063611879</v>
      </c>
      <c r="H416" s="17">
        <v>0.16817543877023999</v>
      </c>
      <c r="I416" s="17">
        <v>0.14515201789262999</v>
      </c>
      <c r="J416" s="17">
        <v>9.3614729706706201E-2</v>
      </c>
      <c r="K416" s="17">
        <v>6.7114652247683204E-2</v>
      </c>
      <c r="L416" s="17">
        <v>3.8486354150573797E-2</v>
      </c>
      <c r="M416" s="17"/>
      <c r="N416" s="17">
        <v>7.6378444636940004E-2</v>
      </c>
      <c r="O416" s="17">
        <v>6.4625436364236094E-2</v>
      </c>
      <c r="P416" s="17">
        <v>0.10844011906406401</v>
      </c>
      <c r="Q416" s="17">
        <v>9.8887262016581698E-2</v>
      </c>
      <c r="R416" s="17">
        <v>8.4580187305931795E-2</v>
      </c>
      <c r="S416" s="17">
        <v>8.25601890309971E-2</v>
      </c>
      <c r="T416" s="17">
        <v>0.10290206277856701</v>
      </c>
      <c r="U416" s="17">
        <v>0.12825024413878799</v>
      </c>
      <c r="V416" s="17">
        <v>8.9589941793570396E-2</v>
      </c>
      <c r="W416" s="17"/>
      <c r="X416" s="17">
        <v>0.15247834223429199</v>
      </c>
      <c r="Y416" s="17">
        <v>6.8570792875965098E-2</v>
      </c>
    </row>
    <row r="417" spans="2:25" x14ac:dyDescent="0.35">
      <c r="B417" t="s">
        <v>86</v>
      </c>
      <c r="C417" s="17">
        <v>0.18644757399484199</v>
      </c>
      <c r="D417" s="17">
        <v>0.21024731276745801</v>
      </c>
      <c r="E417" s="17">
        <v>0.164231456632038</v>
      </c>
      <c r="F417" s="17"/>
      <c r="G417" s="17">
        <v>0.24994988693953599</v>
      </c>
      <c r="H417" s="17">
        <v>0.26324616483146801</v>
      </c>
      <c r="I417" s="17">
        <v>0.22717877909727799</v>
      </c>
      <c r="J417" s="17">
        <v>0.195553835380497</v>
      </c>
      <c r="K417" s="17">
        <v>0.153916287526801</v>
      </c>
      <c r="L417" s="17">
        <v>0.106414610286221</v>
      </c>
      <c r="M417" s="17"/>
      <c r="N417" s="17">
        <v>0.16299782789456899</v>
      </c>
      <c r="O417" s="17">
        <v>0.154137345886565</v>
      </c>
      <c r="P417" s="17">
        <v>0.184972058195983</v>
      </c>
      <c r="Q417" s="17">
        <v>0.16461806559092401</v>
      </c>
      <c r="R417" s="17">
        <v>0.21523281702426</v>
      </c>
      <c r="S417" s="17">
        <v>0.15442337841367501</v>
      </c>
      <c r="T417" s="17">
        <v>0.193962919708767</v>
      </c>
      <c r="U417" s="17">
        <v>0.233283917211729</v>
      </c>
      <c r="V417" s="17">
        <v>0.145062115699508</v>
      </c>
      <c r="W417" s="17"/>
      <c r="X417" s="17">
        <v>0.246635473756877</v>
      </c>
      <c r="Y417" s="17">
        <v>0.15314160500227</v>
      </c>
    </row>
    <row r="418" spans="2:25" x14ac:dyDescent="0.35">
      <c r="B418" t="s">
        <v>181</v>
      </c>
      <c r="C418" s="17">
        <v>0.222510775533732</v>
      </c>
      <c r="D418" s="17">
        <v>0.23961922694504401</v>
      </c>
      <c r="E418" s="17">
        <v>0.20584857816747301</v>
      </c>
      <c r="F418" s="17"/>
      <c r="G418" s="17">
        <v>0.25075531682664798</v>
      </c>
      <c r="H418" s="17">
        <v>0.23607503686113099</v>
      </c>
      <c r="I418" s="17">
        <v>0.254880626087444</v>
      </c>
      <c r="J418" s="17">
        <v>0.25264148400567699</v>
      </c>
      <c r="K418" s="17">
        <v>0.187035528506791</v>
      </c>
      <c r="L418" s="17">
        <v>0.185966802250706</v>
      </c>
      <c r="M418" s="17"/>
      <c r="N418" s="17">
        <v>0.17791387727722299</v>
      </c>
      <c r="O418" s="17">
        <v>0.16073895518319301</v>
      </c>
      <c r="P418" s="17">
        <v>0.21496322670790299</v>
      </c>
      <c r="Q418" s="17">
        <v>0.22713927090344899</v>
      </c>
      <c r="R418" s="17">
        <v>0.23362991010022299</v>
      </c>
      <c r="S418" s="17">
        <v>0.18945272830729101</v>
      </c>
      <c r="T418" s="17">
        <v>0.25119030018194499</v>
      </c>
      <c r="U418" s="17">
        <v>0.24555570538468299</v>
      </c>
      <c r="V418" s="17">
        <v>0.20917646864547901</v>
      </c>
      <c r="W418" s="17"/>
      <c r="X418" s="17">
        <v>0.229686352574824</v>
      </c>
      <c r="Y418" s="17">
        <v>0.21854005139517099</v>
      </c>
    </row>
    <row r="419" spans="2:25" x14ac:dyDescent="0.35">
      <c r="B419" t="s">
        <v>88</v>
      </c>
      <c r="C419" s="17">
        <v>0.14524360493833099</v>
      </c>
      <c r="D419" s="17">
        <v>0.134002875076254</v>
      </c>
      <c r="E419" s="17">
        <v>0.15577313982341501</v>
      </c>
      <c r="F419" s="17"/>
      <c r="G419" s="17">
        <v>0.18003224237713</v>
      </c>
      <c r="H419" s="17">
        <v>0.14295719587334699</v>
      </c>
      <c r="I419" s="17">
        <v>0.12404828360331401</v>
      </c>
      <c r="J419" s="17">
        <v>0.13295887276864299</v>
      </c>
      <c r="K419" s="17">
        <v>0.15497298643770699</v>
      </c>
      <c r="L419" s="17">
        <v>0.149237134338565</v>
      </c>
      <c r="M419" s="17"/>
      <c r="N419" s="17">
        <v>0.225832264955143</v>
      </c>
      <c r="O419" s="17">
        <v>0.21174268009674499</v>
      </c>
      <c r="P419" s="17">
        <v>0.13812950077743</v>
      </c>
      <c r="Q419" s="17">
        <v>0.16575113858878099</v>
      </c>
      <c r="R419" s="17">
        <v>0.170783903150768</v>
      </c>
      <c r="S419" s="17">
        <v>0.13167868966885801</v>
      </c>
      <c r="T419" s="17">
        <v>0.160581521630943</v>
      </c>
      <c r="U419" s="17">
        <v>7.4746184547626701E-2</v>
      </c>
      <c r="V419" s="17">
        <v>0.145548162716266</v>
      </c>
      <c r="W419" s="17"/>
      <c r="X419" s="17">
        <v>0.124052389685519</v>
      </c>
      <c r="Y419" s="17">
        <v>0.15697011410239101</v>
      </c>
    </row>
    <row r="420" spans="2:25" x14ac:dyDescent="0.35">
      <c r="B420" t="s">
        <v>89</v>
      </c>
      <c r="C420" s="17">
        <v>0.193929073175582</v>
      </c>
      <c r="D420" s="17">
        <v>0.15858769160209099</v>
      </c>
      <c r="E420" s="17">
        <v>0.226844225178117</v>
      </c>
      <c r="F420" s="17"/>
      <c r="G420" s="17">
        <v>0.105197394183844</v>
      </c>
      <c r="H420" s="17">
        <v>0.12588830759460201</v>
      </c>
      <c r="I420" s="17">
        <v>0.131685608559065</v>
      </c>
      <c r="J420" s="17">
        <v>0.18065022307452699</v>
      </c>
      <c r="K420" s="17">
        <v>0.24477559660463999</v>
      </c>
      <c r="L420" s="17">
        <v>0.28276154839333401</v>
      </c>
      <c r="M420" s="17"/>
      <c r="N420" s="17">
        <v>0.22168481034486801</v>
      </c>
      <c r="O420" s="17">
        <v>0.31763968924456598</v>
      </c>
      <c r="P420" s="17">
        <v>0.20029326418863899</v>
      </c>
      <c r="Q420" s="17">
        <v>0.24806337910287099</v>
      </c>
      <c r="R420" s="17">
        <v>0.135581556701759</v>
      </c>
      <c r="S420" s="17">
        <v>0.237925987139155</v>
      </c>
      <c r="T420" s="17">
        <v>0.181158073859713</v>
      </c>
      <c r="U420" s="17">
        <v>8.2799105607862897E-2</v>
      </c>
      <c r="V420" s="17">
        <v>0.31256850991000301</v>
      </c>
      <c r="W420" s="17"/>
      <c r="X420" s="17">
        <v>0.155822044433925</v>
      </c>
      <c r="Y420" s="17">
        <v>0.215016227282747</v>
      </c>
    </row>
    <row r="421" spans="2:25" x14ac:dyDescent="0.35">
      <c r="B421" t="s">
        <v>69</v>
      </c>
      <c r="C421" s="17">
        <v>0.15340721150261</v>
      </c>
      <c r="D421" s="17">
        <v>0.131736041694758</v>
      </c>
      <c r="E421" s="17">
        <v>0.17418953836810799</v>
      </c>
      <c r="F421" s="17"/>
      <c r="G421" s="17">
        <v>8.1472096060962798E-2</v>
      </c>
      <c r="H421" s="17">
        <v>6.3657856069212898E-2</v>
      </c>
      <c r="I421" s="17">
        <v>0.11705468476026901</v>
      </c>
      <c r="J421" s="17">
        <v>0.14458085506395099</v>
      </c>
      <c r="K421" s="17">
        <v>0.192184948676377</v>
      </c>
      <c r="L421" s="17">
        <v>0.23713355058060001</v>
      </c>
      <c r="M421" s="17"/>
      <c r="N421" s="17">
        <v>0.135192774891258</v>
      </c>
      <c r="O421" s="17">
        <v>9.1115893224695405E-2</v>
      </c>
      <c r="P421" s="17">
        <v>0.15320183106598101</v>
      </c>
      <c r="Q421" s="17">
        <v>9.5540883797392701E-2</v>
      </c>
      <c r="R421" s="17">
        <v>0.160191625717058</v>
      </c>
      <c r="S421" s="17">
        <v>0.203959027440024</v>
      </c>
      <c r="T421" s="17">
        <v>0.11020512184006501</v>
      </c>
      <c r="U421" s="17">
        <v>0.23536484310931199</v>
      </c>
      <c r="V421" s="17">
        <v>9.8054801235174099E-2</v>
      </c>
      <c r="W421" s="17"/>
      <c r="X421" s="17">
        <v>9.1325397314562906E-2</v>
      </c>
      <c r="Y421" s="17">
        <v>0.18776120934145599</v>
      </c>
    </row>
    <row r="422" spans="2:25" x14ac:dyDescent="0.35">
      <c r="B422" t="s">
        <v>90</v>
      </c>
      <c r="C422" s="17">
        <v>0.28490933484974601</v>
      </c>
      <c r="D422" s="17">
        <v>0.33605416468185301</v>
      </c>
      <c r="E422" s="17">
        <v>0.23734451846288701</v>
      </c>
      <c r="F422" s="17"/>
      <c r="G422" s="17">
        <v>0.38254295055141502</v>
      </c>
      <c r="H422" s="17">
        <v>0.431421603601707</v>
      </c>
      <c r="I422" s="17">
        <v>0.37233079698990801</v>
      </c>
      <c r="J422" s="17">
        <v>0.28916856508720301</v>
      </c>
      <c r="K422" s="17">
        <v>0.22103093977448501</v>
      </c>
      <c r="L422" s="17">
        <v>0.14490096443679501</v>
      </c>
      <c r="M422" s="17"/>
      <c r="N422" s="17">
        <v>0.239376272531509</v>
      </c>
      <c r="O422" s="17">
        <v>0.21876278225080101</v>
      </c>
      <c r="P422" s="17">
        <v>0.29341217726004698</v>
      </c>
      <c r="Q422" s="17">
        <v>0.263505327607505</v>
      </c>
      <c r="R422" s="17">
        <v>0.29981300433019098</v>
      </c>
      <c r="S422" s="17">
        <v>0.236983567444672</v>
      </c>
      <c r="T422" s="17">
        <v>0.29686498248733401</v>
      </c>
      <c r="U422" s="17">
        <v>0.36153416135051603</v>
      </c>
      <c r="V422" s="17">
        <v>0.23465205749307799</v>
      </c>
      <c r="W422" s="17"/>
      <c r="X422" s="17">
        <v>0.39911381599116902</v>
      </c>
      <c r="Y422" s="17">
        <v>0.22171239787823499</v>
      </c>
    </row>
    <row r="423" spans="2:25" x14ac:dyDescent="0.35">
      <c r="B423" t="s">
        <v>91</v>
      </c>
      <c r="C423" s="17">
        <v>0.339172678113912</v>
      </c>
      <c r="D423" s="17">
        <v>0.29259056667834499</v>
      </c>
      <c r="E423" s="17">
        <v>0.38261736500153198</v>
      </c>
      <c r="F423" s="17"/>
      <c r="G423" s="17">
        <v>0.285229636560975</v>
      </c>
      <c r="H423" s="17">
        <v>0.268845503467949</v>
      </c>
      <c r="I423" s="17">
        <v>0.25573389216237902</v>
      </c>
      <c r="J423" s="17">
        <v>0.31360909584316898</v>
      </c>
      <c r="K423" s="17">
        <v>0.399748583042348</v>
      </c>
      <c r="L423" s="17">
        <v>0.43199868273189901</v>
      </c>
      <c r="M423" s="17"/>
      <c r="N423" s="17">
        <v>0.44751707530001</v>
      </c>
      <c r="O423" s="17">
        <v>0.529382369341311</v>
      </c>
      <c r="P423" s="17">
        <v>0.33842276496606899</v>
      </c>
      <c r="Q423" s="17">
        <v>0.41381451769165301</v>
      </c>
      <c r="R423" s="17">
        <v>0.306365459852527</v>
      </c>
      <c r="S423" s="17">
        <v>0.36960467680801301</v>
      </c>
      <c r="T423" s="17">
        <v>0.34173959549065602</v>
      </c>
      <c r="U423" s="17">
        <v>0.15754529015548999</v>
      </c>
      <c r="V423" s="17">
        <v>0.45811667262626898</v>
      </c>
      <c r="W423" s="17"/>
      <c r="X423" s="17">
        <v>0.27987443411944402</v>
      </c>
      <c r="Y423" s="17">
        <v>0.37198634138513798</v>
      </c>
    </row>
    <row r="424" spans="2:25" x14ac:dyDescent="0.35">
      <c r="B424" t="s">
        <v>92</v>
      </c>
      <c r="C424" s="17">
        <v>-5.4263343264166403E-2</v>
      </c>
      <c r="D424" s="17">
        <v>4.3463598003507901E-2</v>
      </c>
      <c r="E424" s="17">
        <v>-0.145272846538645</v>
      </c>
      <c r="F424" s="17"/>
      <c r="G424" s="17">
        <v>9.7313313990439701E-2</v>
      </c>
      <c r="H424" s="17">
        <v>0.16257610013375901</v>
      </c>
      <c r="I424" s="17">
        <v>0.11659690482753</v>
      </c>
      <c r="J424" s="17">
        <v>-2.4440530755966399E-2</v>
      </c>
      <c r="K424" s="17">
        <v>-0.17871764326786299</v>
      </c>
      <c r="L424" s="17">
        <v>-0.287097718295104</v>
      </c>
      <c r="M424" s="17"/>
      <c r="N424" s="17">
        <v>-0.208140802768502</v>
      </c>
      <c r="O424" s="17">
        <v>-0.31061958709051002</v>
      </c>
      <c r="P424" s="17">
        <v>-4.5010587706021801E-2</v>
      </c>
      <c r="Q424" s="17">
        <v>-0.150309190084147</v>
      </c>
      <c r="R424" s="17">
        <v>-6.5524555223359596E-3</v>
      </c>
      <c r="S424" s="17">
        <v>-0.13262110936334001</v>
      </c>
      <c r="T424" s="17">
        <v>-4.4874613003322503E-2</v>
      </c>
      <c r="U424" s="17">
        <v>0.20398887119502701</v>
      </c>
      <c r="V424" s="17">
        <v>-0.22346461513318999</v>
      </c>
      <c r="W424" s="17"/>
      <c r="X424" s="17">
        <v>0.119239381871725</v>
      </c>
      <c r="Y424" s="17">
        <v>-0.15027394350690301</v>
      </c>
    </row>
    <row r="425" spans="2:25" x14ac:dyDescent="0.35">
      <c r="C425" s="17"/>
      <c r="D425" s="17"/>
      <c r="E425" s="17"/>
      <c r="F425" s="17"/>
      <c r="G425" s="17"/>
      <c r="H425" s="17"/>
      <c r="I425" s="17"/>
      <c r="J425" s="17"/>
      <c r="K425" s="17"/>
      <c r="L425" s="17"/>
      <c r="M425" s="17"/>
      <c r="N425" s="17"/>
      <c r="O425" s="17"/>
      <c r="P425" s="17"/>
      <c r="Q425" s="17"/>
      <c r="R425" s="17"/>
      <c r="S425" s="17"/>
      <c r="T425" s="17"/>
      <c r="U425" s="17"/>
      <c r="V425" s="17"/>
      <c r="W425" s="17"/>
      <c r="X425" s="17"/>
      <c r="Y425" s="17"/>
    </row>
    <row r="426" spans="2:25" x14ac:dyDescent="0.35">
      <c r="B426" s="6" t="s">
        <v>226</v>
      </c>
      <c r="C426" s="17"/>
      <c r="D426" s="17"/>
      <c r="E426" s="17"/>
      <c r="F426" s="17"/>
      <c r="G426" s="17"/>
      <c r="H426" s="17"/>
      <c r="I426" s="17"/>
      <c r="J426" s="17"/>
      <c r="K426" s="17"/>
      <c r="L426" s="17"/>
      <c r="M426" s="17"/>
      <c r="N426" s="17"/>
      <c r="O426" s="17"/>
      <c r="P426" s="17"/>
      <c r="Q426" s="17"/>
      <c r="R426" s="17"/>
      <c r="S426" s="17"/>
      <c r="T426" s="17"/>
      <c r="U426" s="17"/>
      <c r="V426" s="17"/>
      <c r="W426" s="17"/>
      <c r="X426" s="17"/>
      <c r="Y426" s="17"/>
    </row>
    <row r="427" spans="2:25" x14ac:dyDescent="0.35">
      <c r="B427" s="24" t="s">
        <v>50</v>
      </c>
      <c r="C427" s="17"/>
      <c r="D427" s="17"/>
      <c r="E427" s="17"/>
      <c r="F427" s="17"/>
      <c r="G427" s="17"/>
      <c r="H427" s="17"/>
      <c r="I427" s="17"/>
      <c r="J427" s="17"/>
      <c r="K427" s="17"/>
      <c r="L427" s="17"/>
      <c r="M427" s="17"/>
      <c r="N427" s="17"/>
      <c r="O427" s="17"/>
      <c r="P427" s="17"/>
      <c r="Q427" s="17"/>
      <c r="R427" s="17"/>
      <c r="S427" s="17"/>
      <c r="T427" s="17"/>
      <c r="U427" s="17"/>
      <c r="V427" s="17"/>
      <c r="W427" s="17"/>
      <c r="X427" s="17"/>
      <c r="Y427" s="17"/>
    </row>
    <row r="428" spans="2:25" x14ac:dyDescent="0.35">
      <c r="B428" t="s">
        <v>222</v>
      </c>
      <c r="C428" s="17">
        <v>0.231432058921201</v>
      </c>
      <c r="D428" s="17">
        <v>0.19165973821665999</v>
      </c>
      <c r="E428" s="17">
        <v>0.26888367356014498</v>
      </c>
      <c r="F428" s="17"/>
      <c r="G428" s="17">
        <v>0.136380294399987</v>
      </c>
      <c r="H428" s="17">
        <v>0.140706943142753</v>
      </c>
      <c r="I428" s="17">
        <v>0.16177875409195</v>
      </c>
      <c r="J428" s="17">
        <v>0.201374757398983</v>
      </c>
      <c r="K428" s="17">
        <v>0.28365753730510701</v>
      </c>
      <c r="L428" s="17">
        <v>0.35135627301732397</v>
      </c>
      <c r="M428" s="17"/>
      <c r="N428" s="17">
        <v>0.306903636217771</v>
      </c>
      <c r="O428" s="17">
        <v>0.23872114432201</v>
      </c>
      <c r="P428" s="17">
        <v>0.26603135669120098</v>
      </c>
      <c r="Q428" s="17">
        <v>0.23591845165667299</v>
      </c>
      <c r="R428" s="17">
        <v>0.19557182138217399</v>
      </c>
      <c r="S428" s="17">
        <v>0.270249242607777</v>
      </c>
      <c r="T428" s="17">
        <v>0.17435397288815899</v>
      </c>
      <c r="U428" s="17">
        <v>0.21633276597113399</v>
      </c>
      <c r="V428" s="17">
        <v>0.26419339223375499</v>
      </c>
      <c r="W428" s="17"/>
      <c r="X428" s="17">
        <v>0.14137803966221499</v>
      </c>
      <c r="Y428" s="17">
        <v>0.28126493870193198</v>
      </c>
    </row>
    <row r="429" spans="2:25" x14ac:dyDescent="0.35">
      <c r="B429" t="s">
        <v>223</v>
      </c>
      <c r="C429" s="17">
        <v>0.73631937104924094</v>
      </c>
      <c r="D429" s="17">
        <v>0.780818384048243</v>
      </c>
      <c r="E429" s="17">
        <v>0.69428900569928198</v>
      </c>
      <c r="F429" s="17"/>
      <c r="G429" s="17">
        <v>0.842867162662985</v>
      </c>
      <c r="H429" s="17">
        <v>0.83790455803106001</v>
      </c>
      <c r="I429" s="17">
        <v>0.803218558652117</v>
      </c>
      <c r="J429" s="17">
        <v>0.76052323004810995</v>
      </c>
      <c r="K429" s="17">
        <v>0.68328078878305198</v>
      </c>
      <c r="L429" s="17">
        <v>0.61198972935441198</v>
      </c>
      <c r="M429" s="17"/>
      <c r="N429" s="17">
        <v>0.66545272803473199</v>
      </c>
      <c r="O429" s="17">
        <v>0.73423783863639902</v>
      </c>
      <c r="P429" s="17">
        <v>0.68679537767597698</v>
      </c>
      <c r="Q429" s="17">
        <v>0.73274387642963001</v>
      </c>
      <c r="R429" s="17">
        <v>0.77006850611176103</v>
      </c>
      <c r="S429" s="17">
        <v>0.70491936287360102</v>
      </c>
      <c r="T429" s="17">
        <v>0.80047786147058098</v>
      </c>
      <c r="U429" s="17">
        <v>0.74984688037071801</v>
      </c>
      <c r="V429" s="17">
        <v>0.70642736507526804</v>
      </c>
      <c r="W429" s="17"/>
      <c r="X429" s="17">
        <v>0.836950909900254</v>
      </c>
      <c r="Y429" s="17">
        <v>0.68063324599922503</v>
      </c>
    </row>
    <row r="430" spans="2:25" x14ac:dyDescent="0.35">
      <c r="B430" t="s">
        <v>224</v>
      </c>
      <c r="C430" s="17">
        <v>3.22485700295575E-2</v>
      </c>
      <c r="D430" s="17">
        <v>2.75218777350975E-2</v>
      </c>
      <c r="E430" s="17">
        <v>3.68273207405731E-2</v>
      </c>
      <c r="F430" s="17"/>
      <c r="G430" s="17">
        <v>2.0752542937028402E-2</v>
      </c>
      <c r="H430" s="17">
        <v>2.1388498826186399E-2</v>
      </c>
      <c r="I430" s="17">
        <v>3.50026872559328E-2</v>
      </c>
      <c r="J430" s="17">
        <v>3.8102012552906697E-2</v>
      </c>
      <c r="K430" s="17">
        <v>3.3061673911840901E-2</v>
      </c>
      <c r="L430" s="17">
        <v>3.6653997628263997E-2</v>
      </c>
      <c r="M430" s="17"/>
      <c r="N430" s="17">
        <v>2.7643635747496599E-2</v>
      </c>
      <c r="O430" s="17">
        <v>2.70410170415906E-2</v>
      </c>
      <c r="P430" s="17">
        <v>4.7173265632822099E-2</v>
      </c>
      <c r="Q430" s="17">
        <v>3.1337671913697601E-2</v>
      </c>
      <c r="R430" s="17">
        <v>3.4359672506065003E-2</v>
      </c>
      <c r="S430" s="17">
        <v>2.48313945186222E-2</v>
      </c>
      <c r="T430" s="17">
        <v>2.51681656412602E-2</v>
      </c>
      <c r="U430" s="17">
        <v>3.3820353658147999E-2</v>
      </c>
      <c r="V430" s="17">
        <v>2.9379242690976901E-2</v>
      </c>
      <c r="W430" s="17"/>
      <c r="X430" s="17">
        <v>2.1671050437530801E-2</v>
      </c>
      <c r="Y430" s="17">
        <v>3.8101815298843003E-2</v>
      </c>
    </row>
    <row r="431" spans="2:25" x14ac:dyDescent="0.35">
      <c r="C431" s="17"/>
      <c r="D431" s="17"/>
      <c r="E431" s="17"/>
      <c r="F431" s="17"/>
      <c r="G431" s="17"/>
      <c r="H431" s="17"/>
      <c r="I431" s="17"/>
      <c r="J431" s="17"/>
      <c r="K431" s="17"/>
      <c r="L431" s="17"/>
      <c r="M431" s="17"/>
      <c r="N431" s="17"/>
      <c r="O431" s="17"/>
      <c r="P431" s="17"/>
      <c r="Q431" s="17"/>
      <c r="R431" s="17"/>
      <c r="S431" s="17"/>
      <c r="T431" s="17"/>
      <c r="U431" s="17"/>
      <c r="V431" s="17"/>
      <c r="W431" s="17"/>
      <c r="X431" s="17"/>
      <c r="Y431" s="17"/>
    </row>
    <row r="432" spans="2:25" x14ac:dyDescent="0.35">
      <c r="B432" s="6" t="s">
        <v>227</v>
      </c>
      <c r="C432" s="17"/>
      <c r="D432" s="17"/>
      <c r="E432" s="17"/>
      <c r="F432" s="17"/>
      <c r="G432" s="17"/>
      <c r="H432" s="17"/>
      <c r="I432" s="17"/>
      <c r="J432" s="17"/>
      <c r="K432" s="17"/>
      <c r="L432" s="17"/>
      <c r="M432" s="17"/>
      <c r="N432" s="17"/>
      <c r="O432" s="17"/>
      <c r="P432" s="17"/>
      <c r="Q432" s="17"/>
      <c r="R432" s="17"/>
      <c r="S432" s="17"/>
      <c r="T432" s="17"/>
      <c r="U432" s="17"/>
      <c r="V432" s="17"/>
      <c r="W432" s="17"/>
      <c r="X432" s="17"/>
      <c r="Y432" s="17"/>
    </row>
    <row r="433" spans="2:25" x14ac:dyDescent="0.35">
      <c r="B433" s="24" t="s">
        <v>50</v>
      </c>
      <c r="C433" s="17"/>
      <c r="D433" s="17"/>
      <c r="E433" s="17"/>
      <c r="F433" s="17"/>
      <c r="G433" s="17"/>
      <c r="H433" s="17"/>
      <c r="I433" s="17"/>
      <c r="J433" s="17"/>
      <c r="K433" s="17"/>
      <c r="L433" s="17"/>
      <c r="M433" s="17"/>
      <c r="N433" s="17"/>
      <c r="O433" s="17"/>
      <c r="P433" s="17"/>
      <c r="Q433" s="17"/>
      <c r="R433" s="17"/>
      <c r="S433" s="17"/>
      <c r="T433" s="17"/>
      <c r="U433" s="17"/>
      <c r="V433" s="17"/>
      <c r="W433" s="17"/>
      <c r="X433" s="17"/>
      <c r="Y433" s="17"/>
    </row>
    <row r="434" spans="2:25" x14ac:dyDescent="0.35">
      <c r="B434" t="s">
        <v>222</v>
      </c>
      <c r="C434" s="17">
        <v>0.35216686849193302</v>
      </c>
      <c r="D434" s="17">
        <v>0.32759054247463698</v>
      </c>
      <c r="E434" s="17">
        <v>0.375582989958888</v>
      </c>
      <c r="F434" s="17"/>
      <c r="G434" s="17">
        <v>0.21407739616497101</v>
      </c>
      <c r="H434" s="17">
        <v>0.28348783105492598</v>
      </c>
      <c r="I434" s="17">
        <v>0.30906461852933598</v>
      </c>
      <c r="J434" s="17">
        <v>0.34191303813884899</v>
      </c>
      <c r="K434" s="17">
        <v>0.384516791207277</v>
      </c>
      <c r="L434" s="17">
        <v>0.45757502648590098</v>
      </c>
      <c r="M434" s="17"/>
      <c r="N434" s="17">
        <v>0.43975894931878701</v>
      </c>
      <c r="O434" s="17">
        <v>0.43453627864632</v>
      </c>
      <c r="P434" s="17">
        <v>0.39627474834338</v>
      </c>
      <c r="Q434" s="17">
        <v>0.36658716545548298</v>
      </c>
      <c r="R434" s="17">
        <v>0.30353418293500101</v>
      </c>
      <c r="S434" s="17">
        <v>0.27901391296733302</v>
      </c>
      <c r="T434" s="17">
        <v>0.414106321243569</v>
      </c>
      <c r="U434" s="17">
        <v>0.31176859213152303</v>
      </c>
      <c r="V434" s="17">
        <v>0.37063510791447901</v>
      </c>
      <c r="W434" s="17"/>
      <c r="X434" s="17">
        <v>0.27249829572656697</v>
      </c>
      <c r="Y434" s="17">
        <v>0.39625278982656298</v>
      </c>
    </row>
    <row r="435" spans="2:25" x14ac:dyDescent="0.35">
      <c r="B435" t="s">
        <v>223</v>
      </c>
      <c r="C435" s="17">
        <v>0.59807312863428097</v>
      </c>
      <c r="D435" s="17">
        <v>0.63242030482909095</v>
      </c>
      <c r="E435" s="17">
        <v>0.56557402443230298</v>
      </c>
      <c r="F435" s="17"/>
      <c r="G435" s="17">
        <v>0.747680774652552</v>
      </c>
      <c r="H435" s="17">
        <v>0.67647638346518102</v>
      </c>
      <c r="I435" s="17">
        <v>0.64711276458511802</v>
      </c>
      <c r="J435" s="17">
        <v>0.60005574662378403</v>
      </c>
      <c r="K435" s="17">
        <v>0.56006054081724999</v>
      </c>
      <c r="L435" s="17">
        <v>0.48819277737612499</v>
      </c>
      <c r="M435" s="17"/>
      <c r="N435" s="17">
        <v>0.52487489404216303</v>
      </c>
      <c r="O435" s="17">
        <v>0.51966711261357901</v>
      </c>
      <c r="P435" s="17">
        <v>0.52412325096798296</v>
      </c>
      <c r="Q435" s="17">
        <v>0.59311810563322298</v>
      </c>
      <c r="R435" s="17">
        <v>0.62905460661966395</v>
      </c>
      <c r="S435" s="17">
        <v>0.69514314129705701</v>
      </c>
      <c r="T435" s="17">
        <v>0.52677804602598899</v>
      </c>
      <c r="U435" s="17">
        <v>0.65101262245529501</v>
      </c>
      <c r="V435" s="17">
        <v>0.59712049310858495</v>
      </c>
      <c r="W435" s="17"/>
      <c r="X435" s="17">
        <v>0.69366114416306301</v>
      </c>
      <c r="Y435" s="17">
        <v>0.54517792056338599</v>
      </c>
    </row>
    <row r="436" spans="2:25" x14ac:dyDescent="0.35">
      <c r="B436" t="s">
        <v>224</v>
      </c>
      <c r="C436" s="17">
        <v>4.9760002873786201E-2</v>
      </c>
      <c r="D436" s="17">
        <v>3.99891526962717E-2</v>
      </c>
      <c r="E436" s="17">
        <v>5.88429856088101E-2</v>
      </c>
      <c r="F436" s="17"/>
      <c r="G436" s="17">
        <v>3.8241829182476803E-2</v>
      </c>
      <c r="H436" s="17">
        <v>4.0035785479892602E-2</v>
      </c>
      <c r="I436" s="17">
        <v>4.3822616885545798E-2</v>
      </c>
      <c r="J436" s="17">
        <v>5.8031215237367699E-2</v>
      </c>
      <c r="K436" s="17">
        <v>5.5422667975472698E-2</v>
      </c>
      <c r="L436" s="17">
        <v>5.4232196137974698E-2</v>
      </c>
      <c r="M436" s="17"/>
      <c r="N436" s="17">
        <v>3.5366156639050302E-2</v>
      </c>
      <c r="O436" s="17">
        <v>4.5796608740101503E-2</v>
      </c>
      <c r="P436" s="17">
        <v>7.9602000688637098E-2</v>
      </c>
      <c r="Q436" s="17">
        <v>4.0294728911294E-2</v>
      </c>
      <c r="R436" s="17">
        <v>6.7411210445335504E-2</v>
      </c>
      <c r="S436" s="17">
        <v>2.58429457356102E-2</v>
      </c>
      <c r="T436" s="17">
        <v>5.9115632730441597E-2</v>
      </c>
      <c r="U436" s="17">
        <v>3.7218785413182597E-2</v>
      </c>
      <c r="V436" s="17">
        <v>3.2244398976936199E-2</v>
      </c>
      <c r="W436" s="17"/>
      <c r="X436" s="17">
        <v>3.3840560110370801E-2</v>
      </c>
      <c r="Y436" s="17">
        <v>5.8569289610050999E-2</v>
      </c>
    </row>
    <row r="437" spans="2:25" x14ac:dyDescent="0.35">
      <c r="C437" s="17"/>
      <c r="D437" s="17"/>
      <c r="E437" s="17"/>
      <c r="F437" s="17"/>
      <c r="G437" s="17"/>
      <c r="H437" s="17"/>
      <c r="I437" s="17"/>
      <c r="J437" s="17"/>
      <c r="K437" s="17"/>
      <c r="L437" s="17"/>
      <c r="M437" s="17"/>
      <c r="N437" s="17"/>
      <c r="O437" s="17"/>
      <c r="P437" s="17"/>
      <c r="Q437" s="17"/>
      <c r="R437" s="17"/>
      <c r="S437" s="17"/>
      <c r="T437" s="17"/>
      <c r="U437" s="17"/>
      <c r="V437" s="17"/>
      <c r="W437" s="17"/>
      <c r="X437" s="17"/>
      <c r="Y437" s="17"/>
    </row>
    <row r="438" spans="2:25" x14ac:dyDescent="0.35">
      <c r="B438" s="6" t="s">
        <v>228</v>
      </c>
      <c r="C438" s="17"/>
      <c r="D438" s="17"/>
      <c r="E438" s="17"/>
      <c r="F438" s="17"/>
      <c r="G438" s="17"/>
      <c r="H438" s="17"/>
      <c r="I438" s="17"/>
      <c r="J438" s="17"/>
      <c r="K438" s="17"/>
      <c r="L438" s="17"/>
      <c r="M438" s="17"/>
      <c r="N438" s="17"/>
      <c r="O438" s="17"/>
      <c r="P438" s="17"/>
      <c r="Q438" s="17"/>
      <c r="R438" s="17"/>
      <c r="S438" s="17"/>
      <c r="T438" s="17"/>
      <c r="U438" s="17"/>
      <c r="V438" s="17"/>
      <c r="W438" s="17"/>
      <c r="X438" s="17"/>
      <c r="Y438" s="17"/>
    </row>
    <row r="439" spans="2:25" x14ac:dyDescent="0.35">
      <c r="B439" s="24" t="s">
        <v>50</v>
      </c>
      <c r="C439" s="17"/>
      <c r="D439" s="17"/>
      <c r="E439" s="17"/>
      <c r="F439" s="17"/>
      <c r="G439" s="17"/>
      <c r="H439" s="17"/>
      <c r="I439" s="17"/>
      <c r="J439" s="17"/>
      <c r="K439" s="17"/>
      <c r="L439" s="17"/>
      <c r="M439" s="17"/>
      <c r="N439" s="17"/>
      <c r="O439" s="17"/>
      <c r="P439" s="17"/>
      <c r="Q439" s="17"/>
      <c r="R439" s="17"/>
      <c r="S439" s="17"/>
      <c r="T439" s="17"/>
      <c r="U439" s="17"/>
      <c r="V439" s="17"/>
      <c r="W439" s="17"/>
      <c r="X439" s="17"/>
      <c r="Y439" s="17"/>
    </row>
    <row r="440" spans="2:25" x14ac:dyDescent="0.35">
      <c r="B440" t="s">
        <v>222</v>
      </c>
      <c r="C440" s="17">
        <v>0.29706713015596697</v>
      </c>
      <c r="D440" s="17">
        <v>0.27282488744286698</v>
      </c>
      <c r="E440" s="17">
        <v>0.31910879494044497</v>
      </c>
      <c r="F440" s="17"/>
      <c r="G440" s="17">
        <v>0.30192419428238099</v>
      </c>
      <c r="H440" s="17">
        <v>0.26550649437299001</v>
      </c>
      <c r="I440" s="17">
        <v>0.26485497761842502</v>
      </c>
      <c r="J440" s="17">
        <v>0.27836230576155402</v>
      </c>
      <c r="K440" s="17">
        <v>0.29764326782879802</v>
      </c>
      <c r="L440" s="17">
        <v>0.34700828231519998</v>
      </c>
      <c r="M440" s="17"/>
      <c r="N440" s="17">
        <v>0.206454973525901</v>
      </c>
      <c r="O440" s="17">
        <v>0.19188994950663699</v>
      </c>
      <c r="P440" s="17">
        <v>0.34648069824689698</v>
      </c>
      <c r="Q440" s="17">
        <v>0.45894947272042602</v>
      </c>
      <c r="R440" s="17">
        <v>0.30308739804366902</v>
      </c>
      <c r="S440" s="17">
        <v>0.240513897781928</v>
      </c>
      <c r="T440" s="17">
        <v>0.197605086145271</v>
      </c>
      <c r="U440" s="17">
        <v>0.292742146509058</v>
      </c>
      <c r="V440" s="17">
        <v>0.25694442530059403</v>
      </c>
      <c r="W440" s="17"/>
      <c r="X440" s="17">
        <v>0.217275020960706</v>
      </c>
      <c r="Y440" s="17">
        <v>0.34122141241562998</v>
      </c>
    </row>
    <row r="441" spans="2:25" x14ac:dyDescent="0.35">
      <c r="B441" t="s">
        <v>223</v>
      </c>
      <c r="C441" s="17">
        <v>0.65835067824343396</v>
      </c>
      <c r="D441" s="17">
        <v>0.69029945553053396</v>
      </c>
      <c r="E441" s="17">
        <v>0.62887568556864404</v>
      </c>
      <c r="F441" s="17"/>
      <c r="G441" s="17">
        <v>0.64057702778679104</v>
      </c>
      <c r="H441" s="17">
        <v>0.68596253527342699</v>
      </c>
      <c r="I441" s="17">
        <v>0.68906379083715097</v>
      </c>
      <c r="J441" s="17">
        <v>0.672893964922466</v>
      </c>
      <c r="K441" s="17">
        <v>0.66885842287601904</v>
      </c>
      <c r="L441" s="17">
        <v>0.61206372848905499</v>
      </c>
      <c r="M441" s="17"/>
      <c r="N441" s="17">
        <v>0.74574687222563196</v>
      </c>
      <c r="O441" s="17">
        <v>0.78566375913494102</v>
      </c>
      <c r="P441" s="17">
        <v>0.602772384311969</v>
      </c>
      <c r="Q441" s="17">
        <v>0.50340529413698099</v>
      </c>
      <c r="R441" s="17">
        <v>0.61692990172477802</v>
      </c>
      <c r="S441" s="17">
        <v>0.73739250511630094</v>
      </c>
      <c r="T441" s="17">
        <v>0.75277884903037096</v>
      </c>
      <c r="U441" s="17">
        <v>0.66558995787470199</v>
      </c>
      <c r="V441" s="17">
        <v>0.72447289426680705</v>
      </c>
      <c r="W441" s="17"/>
      <c r="X441" s="17">
        <v>0.75974780948978204</v>
      </c>
      <c r="Y441" s="17">
        <v>0.60224089998935504</v>
      </c>
    </row>
    <row r="442" spans="2:25" x14ac:dyDescent="0.35">
      <c r="B442" t="s">
        <v>224</v>
      </c>
      <c r="C442" s="17">
        <v>4.4582191600598897E-2</v>
      </c>
      <c r="D442" s="17">
        <v>3.6875657026598903E-2</v>
      </c>
      <c r="E442" s="17">
        <v>5.20155194909111E-2</v>
      </c>
      <c r="F442" s="17"/>
      <c r="G442" s="17">
        <v>5.7498777930827701E-2</v>
      </c>
      <c r="H442" s="17">
        <v>4.8530970353583197E-2</v>
      </c>
      <c r="I442" s="17">
        <v>4.6081231544424797E-2</v>
      </c>
      <c r="J442" s="17">
        <v>4.87437293159802E-2</v>
      </c>
      <c r="K442" s="17">
        <v>3.3498309295183E-2</v>
      </c>
      <c r="L442" s="17">
        <v>4.0927989195745001E-2</v>
      </c>
      <c r="M442" s="17"/>
      <c r="N442" s="17">
        <v>4.77981542484665E-2</v>
      </c>
      <c r="O442" s="17">
        <v>2.24462913584225E-2</v>
      </c>
      <c r="P442" s="17">
        <v>5.0746917441133799E-2</v>
      </c>
      <c r="Q442" s="17">
        <v>3.7645233142593597E-2</v>
      </c>
      <c r="R442" s="17">
        <v>7.9982700231552697E-2</v>
      </c>
      <c r="S442" s="17">
        <v>2.2093597101770699E-2</v>
      </c>
      <c r="T442" s="17">
        <v>4.9616064824357702E-2</v>
      </c>
      <c r="U442" s="17">
        <v>4.1667895616239903E-2</v>
      </c>
      <c r="V442" s="17">
        <v>1.8582680432599499E-2</v>
      </c>
      <c r="W442" s="17"/>
      <c r="X442" s="17">
        <v>2.29771695495119E-2</v>
      </c>
      <c r="Y442" s="17">
        <v>5.6537687595014999E-2</v>
      </c>
    </row>
    <row r="443" spans="2:25" x14ac:dyDescent="0.35">
      <c r="C443" s="17"/>
      <c r="D443" s="17"/>
      <c r="E443" s="17"/>
      <c r="F443" s="17"/>
      <c r="G443" s="17"/>
      <c r="H443" s="17"/>
      <c r="I443" s="17"/>
      <c r="J443" s="17"/>
      <c r="K443" s="17"/>
      <c r="L443" s="17"/>
      <c r="M443" s="17"/>
      <c r="N443" s="17"/>
      <c r="O443" s="17"/>
      <c r="P443" s="17"/>
      <c r="Q443" s="17"/>
      <c r="R443" s="17"/>
      <c r="S443" s="17"/>
      <c r="T443" s="17"/>
      <c r="U443" s="17"/>
      <c r="V443" s="17"/>
      <c r="W443" s="17"/>
      <c r="X443" s="17"/>
      <c r="Y443" s="17"/>
    </row>
    <row r="444" spans="2:25" x14ac:dyDescent="0.35">
      <c r="B444" s="6" t="s">
        <v>229</v>
      </c>
      <c r="C444" s="17"/>
      <c r="D444" s="17"/>
      <c r="E444" s="17"/>
      <c r="F444" s="17"/>
      <c r="G444" s="17"/>
      <c r="H444" s="17"/>
      <c r="I444" s="17"/>
      <c r="J444" s="17"/>
      <c r="K444" s="17"/>
      <c r="L444" s="17"/>
      <c r="M444" s="17"/>
      <c r="N444" s="17"/>
      <c r="O444" s="17"/>
      <c r="P444" s="17"/>
      <c r="Q444" s="17"/>
      <c r="R444" s="17"/>
      <c r="S444" s="17"/>
      <c r="T444" s="17"/>
      <c r="U444" s="17"/>
      <c r="V444" s="17"/>
      <c r="W444" s="17"/>
      <c r="X444" s="17"/>
      <c r="Y444" s="17"/>
    </row>
    <row r="445" spans="2:25" x14ac:dyDescent="0.35">
      <c r="B445" s="24" t="s">
        <v>50</v>
      </c>
      <c r="C445" s="17"/>
      <c r="D445" s="17"/>
      <c r="E445" s="17"/>
      <c r="F445" s="17"/>
      <c r="G445" s="17"/>
      <c r="H445" s="17"/>
      <c r="I445" s="17"/>
      <c r="J445" s="17"/>
      <c r="K445" s="17"/>
      <c r="L445" s="17"/>
      <c r="M445" s="17"/>
      <c r="N445" s="17"/>
      <c r="O445" s="17"/>
      <c r="P445" s="17"/>
      <c r="Q445" s="17"/>
      <c r="R445" s="17"/>
      <c r="S445" s="17"/>
      <c r="T445" s="17"/>
      <c r="U445" s="17"/>
      <c r="V445" s="17"/>
      <c r="W445" s="17"/>
      <c r="X445" s="17"/>
      <c r="Y445" s="17"/>
    </row>
    <row r="446" spans="2:25" x14ac:dyDescent="0.35">
      <c r="B446" t="s">
        <v>222</v>
      </c>
      <c r="C446" s="17">
        <v>0.15090131119849101</v>
      </c>
      <c r="D446" s="17">
        <v>0.132884000505786</v>
      </c>
      <c r="E446" s="17">
        <v>0.167937274507552</v>
      </c>
      <c r="F446" s="17"/>
      <c r="G446" s="17">
        <v>0.133397759320835</v>
      </c>
      <c r="H446" s="17">
        <v>0.12662602590093899</v>
      </c>
      <c r="I446" s="17">
        <v>0.12255174464619099</v>
      </c>
      <c r="J446" s="17">
        <v>0.14212725304649099</v>
      </c>
      <c r="K446" s="17">
        <v>0.155578708170484</v>
      </c>
      <c r="L446" s="17">
        <v>0.192887701755979</v>
      </c>
      <c r="M446" s="17"/>
      <c r="N446" s="17">
        <v>0.14334624862093601</v>
      </c>
      <c r="O446" s="17">
        <v>4.7942344357918401E-2</v>
      </c>
      <c r="P446" s="17">
        <v>0.21904647713980999</v>
      </c>
      <c r="Q446" s="17">
        <v>0.147318865764139</v>
      </c>
      <c r="R446" s="17">
        <v>0.12561455703411001</v>
      </c>
      <c r="S446" s="17">
        <v>0.14374595602162701</v>
      </c>
      <c r="T446" s="17">
        <v>7.8822857894071105E-2</v>
      </c>
      <c r="U446" s="17">
        <v>0.237365963317581</v>
      </c>
      <c r="V446" s="17">
        <v>9.0386356568070397E-2</v>
      </c>
      <c r="W446" s="17"/>
      <c r="X446" s="17">
        <v>0.10203513262388</v>
      </c>
      <c r="Y446" s="17">
        <v>0.177942218670362</v>
      </c>
    </row>
    <row r="447" spans="2:25" x14ac:dyDescent="0.35">
      <c r="B447" t="s">
        <v>223</v>
      </c>
      <c r="C447" s="17">
        <v>0.82360315886108304</v>
      </c>
      <c r="D447" s="17">
        <v>0.84644645588947698</v>
      </c>
      <c r="E447" s="17">
        <v>0.80223640270017205</v>
      </c>
      <c r="F447" s="17"/>
      <c r="G447" s="17">
        <v>0.82888196592286301</v>
      </c>
      <c r="H447" s="17">
        <v>0.85010090772732405</v>
      </c>
      <c r="I447" s="17">
        <v>0.85862207446827798</v>
      </c>
      <c r="J447" s="17">
        <v>0.83505565532748804</v>
      </c>
      <c r="K447" s="17">
        <v>0.82063711728088495</v>
      </c>
      <c r="L447" s="17">
        <v>0.77761567470085302</v>
      </c>
      <c r="M447" s="17"/>
      <c r="N447" s="17">
        <v>0.85665375137906397</v>
      </c>
      <c r="O447" s="17">
        <v>0.94380236561597897</v>
      </c>
      <c r="P447" s="17">
        <v>0.73622737156884999</v>
      </c>
      <c r="Q447" s="17">
        <v>0.82540133660445203</v>
      </c>
      <c r="R447" s="17">
        <v>0.84981247242467395</v>
      </c>
      <c r="S447" s="17">
        <v>0.84088646728964</v>
      </c>
      <c r="T447" s="17">
        <v>0.91035250567748205</v>
      </c>
      <c r="U447" s="17">
        <v>0.71910211570179094</v>
      </c>
      <c r="V447" s="17">
        <v>0.895453887245931</v>
      </c>
      <c r="W447" s="17"/>
      <c r="X447" s="17">
        <v>0.88439728411542096</v>
      </c>
      <c r="Y447" s="17">
        <v>0.78996172497392303</v>
      </c>
    </row>
    <row r="448" spans="2:25" x14ac:dyDescent="0.35">
      <c r="B448" t="s">
        <v>224</v>
      </c>
      <c r="C448" s="17">
        <v>2.54955299404265E-2</v>
      </c>
      <c r="D448" s="17">
        <v>2.0669543604737401E-2</v>
      </c>
      <c r="E448" s="17">
        <v>2.9826322792276198E-2</v>
      </c>
      <c r="F448" s="17"/>
      <c r="G448" s="17">
        <v>3.7720274756302498E-2</v>
      </c>
      <c r="H448" s="17">
        <v>2.3273066371736199E-2</v>
      </c>
      <c r="I448" s="17">
        <v>1.8826180885530699E-2</v>
      </c>
      <c r="J448" s="17">
        <v>2.2817091626020299E-2</v>
      </c>
      <c r="K448" s="17">
        <v>2.3784174548631201E-2</v>
      </c>
      <c r="L448" s="17">
        <v>2.9496623543168302E-2</v>
      </c>
      <c r="M448" s="17"/>
      <c r="N448" s="17">
        <v>0</v>
      </c>
      <c r="O448" s="17">
        <v>8.2552900261028406E-3</v>
      </c>
      <c r="P448" s="17">
        <v>4.4726151291339201E-2</v>
      </c>
      <c r="Q448" s="17">
        <v>2.7279797631408999E-2</v>
      </c>
      <c r="R448" s="17">
        <v>2.4572970541215801E-2</v>
      </c>
      <c r="S448" s="17">
        <v>1.5367576688733099E-2</v>
      </c>
      <c r="T448" s="17">
        <v>1.0824636428446501E-2</v>
      </c>
      <c r="U448" s="17">
        <v>4.3531920980628303E-2</v>
      </c>
      <c r="V448" s="17">
        <v>1.41597561859984E-2</v>
      </c>
      <c r="W448" s="17"/>
      <c r="X448" s="17">
        <v>1.3567583260699101E-2</v>
      </c>
      <c r="Y448" s="17">
        <v>3.2096056355714997E-2</v>
      </c>
    </row>
    <row r="449" spans="2:25" x14ac:dyDescent="0.35">
      <c r="C449" s="17"/>
      <c r="D449" s="17"/>
      <c r="E449" s="17"/>
      <c r="F449" s="17"/>
      <c r="G449" s="17"/>
      <c r="H449" s="17"/>
      <c r="I449" s="17"/>
      <c r="J449" s="17"/>
      <c r="K449" s="17"/>
      <c r="L449" s="17"/>
      <c r="M449" s="17"/>
      <c r="N449" s="17"/>
      <c r="O449" s="17"/>
      <c r="P449" s="17"/>
      <c r="Q449" s="17"/>
      <c r="R449" s="17"/>
      <c r="S449" s="17"/>
      <c r="T449" s="17"/>
      <c r="U449" s="17"/>
      <c r="V449" s="17"/>
      <c r="W449" s="17"/>
      <c r="X449" s="17"/>
      <c r="Y449" s="17"/>
    </row>
    <row r="450" spans="2:25" x14ac:dyDescent="0.35">
      <c r="B450" s="6" t="s">
        <v>230</v>
      </c>
      <c r="C450" s="17"/>
      <c r="D450" s="17"/>
      <c r="E450" s="17"/>
      <c r="F450" s="17"/>
      <c r="G450" s="17"/>
      <c r="H450" s="17"/>
      <c r="I450" s="17"/>
      <c r="J450" s="17"/>
      <c r="K450" s="17"/>
      <c r="L450" s="17"/>
      <c r="M450" s="17"/>
      <c r="N450" s="17"/>
      <c r="O450" s="17"/>
      <c r="P450" s="17"/>
      <c r="Q450" s="17"/>
      <c r="R450" s="17"/>
      <c r="S450" s="17"/>
      <c r="T450" s="17"/>
      <c r="U450" s="17"/>
      <c r="V450" s="17"/>
      <c r="W450" s="17"/>
      <c r="X450" s="17"/>
      <c r="Y450" s="17"/>
    </row>
    <row r="451" spans="2:25" x14ac:dyDescent="0.35">
      <c r="B451" s="24" t="s">
        <v>50</v>
      </c>
      <c r="C451" s="17"/>
      <c r="D451" s="17"/>
      <c r="E451" s="17"/>
      <c r="F451" s="17"/>
      <c r="G451" s="17"/>
      <c r="H451" s="17"/>
      <c r="I451" s="17"/>
      <c r="J451" s="17"/>
      <c r="K451" s="17"/>
      <c r="L451" s="17"/>
      <c r="M451" s="17"/>
      <c r="N451" s="17"/>
      <c r="O451" s="17"/>
      <c r="P451" s="17"/>
      <c r="Q451" s="17"/>
      <c r="R451" s="17"/>
      <c r="S451" s="17"/>
      <c r="T451" s="17"/>
      <c r="U451" s="17"/>
      <c r="V451" s="17"/>
      <c r="W451" s="17"/>
      <c r="X451" s="17"/>
      <c r="Y451" s="17"/>
    </row>
    <row r="452" spans="2:25" x14ac:dyDescent="0.35">
      <c r="B452" t="s">
        <v>222</v>
      </c>
      <c r="C452" s="17">
        <v>0.26761709282995999</v>
      </c>
      <c r="D452" s="17">
        <v>0.29026920910728299</v>
      </c>
      <c r="E452" s="17">
        <v>0.245874886222928</v>
      </c>
      <c r="F452" s="17"/>
      <c r="G452" s="17">
        <v>0.237560536650023</v>
      </c>
      <c r="H452" s="17">
        <v>0.22378737174528299</v>
      </c>
      <c r="I452" s="17">
        <v>0.240165338276388</v>
      </c>
      <c r="J452" s="17">
        <v>0.25259455413651299</v>
      </c>
      <c r="K452" s="17">
        <v>0.31684372450352899</v>
      </c>
      <c r="L452" s="17">
        <v>0.300221793189485</v>
      </c>
      <c r="M452" s="17"/>
      <c r="N452" s="17">
        <v>0.29671913093920199</v>
      </c>
      <c r="O452" s="17">
        <v>0.18854760486737801</v>
      </c>
      <c r="P452" s="17">
        <v>0.321743834413386</v>
      </c>
      <c r="Q452" s="17">
        <v>0.33013835845343698</v>
      </c>
      <c r="R452" s="17">
        <v>0.213930330211759</v>
      </c>
      <c r="S452" s="17">
        <v>0.29907727237084902</v>
      </c>
      <c r="T452" s="17">
        <v>0.160846646895589</v>
      </c>
      <c r="U452" s="17">
        <v>0.29144953617506802</v>
      </c>
      <c r="V452" s="17">
        <v>0.26433013033049901</v>
      </c>
      <c r="W452" s="17"/>
      <c r="X452" s="17">
        <v>0.219917625740121</v>
      </c>
      <c r="Y452" s="17">
        <v>0.294012381220775</v>
      </c>
    </row>
    <row r="453" spans="2:25" x14ac:dyDescent="0.35">
      <c r="B453" t="s">
        <v>223</v>
      </c>
      <c r="C453" s="17">
        <v>0.70606939203869801</v>
      </c>
      <c r="D453" s="17">
        <v>0.68510096102894402</v>
      </c>
      <c r="E453" s="17">
        <v>0.72612128515104102</v>
      </c>
      <c r="F453" s="17"/>
      <c r="G453" s="17">
        <v>0.72290209237597203</v>
      </c>
      <c r="H453" s="17">
        <v>0.75152180408853497</v>
      </c>
      <c r="I453" s="17">
        <v>0.72792638016630695</v>
      </c>
      <c r="J453" s="17">
        <v>0.71922246317356897</v>
      </c>
      <c r="K453" s="17">
        <v>0.66066723856766196</v>
      </c>
      <c r="L453" s="17">
        <v>0.679774228672686</v>
      </c>
      <c r="M453" s="17"/>
      <c r="N453" s="17">
        <v>0.67294964636161603</v>
      </c>
      <c r="O453" s="17">
        <v>0.79891643547744895</v>
      </c>
      <c r="P453" s="17">
        <v>0.64625193346153098</v>
      </c>
      <c r="Q453" s="17">
        <v>0.63606798704738998</v>
      </c>
      <c r="R453" s="17">
        <v>0.75242063002671</v>
      </c>
      <c r="S453" s="17">
        <v>0.68201876613482804</v>
      </c>
      <c r="T453" s="17">
        <v>0.81914909547280101</v>
      </c>
      <c r="U453" s="17">
        <v>0.68403370979378497</v>
      </c>
      <c r="V453" s="17">
        <v>0.716805278418848</v>
      </c>
      <c r="W453" s="17"/>
      <c r="X453" s="17">
        <v>0.76138697868163696</v>
      </c>
      <c r="Y453" s="17">
        <v>0.67545849129688895</v>
      </c>
    </row>
    <row r="454" spans="2:25" x14ac:dyDescent="0.35">
      <c r="B454" t="s">
        <v>224</v>
      </c>
      <c r="C454" s="17">
        <v>2.6313515131341701E-2</v>
      </c>
      <c r="D454" s="17">
        <v>2.4629829863773399E-2</v>
      </c>
      <c r="E454" s="17">
        <v>2.80038286260305E-2</v>
      </c>
      <c r="F454" s="17"/>
      <c r="G454" s="17">
        <v>3.9537370974005497E-2</v>
      </c>
      <c r="H454" s="17">
        <v>2.46908241661816E-2</v>
      </c>
      <c r="I454" s="17">
        <v>3.1908281557304997E-2</v>
      </c>
      <c r="J454" s="17">
        <v>2.81829826899174E-2</v>
      </c>
      <c r="K454" s="17">
        <v>2.2489036928808999E-2</v>
      </c>
      <c r="L454" s="17">
        <v>2.0003978137828698E-2</v>
      </c>
      <c r="M454" s="17"/>
      <c r="N454" s="17">
        <v>3.03312226991811E-2</v>
      </c>
      <c r="O454" s="17">
        <v>1.2535959655172299E-2</v>
      </c>
      <c r="P454" s="17">
        <v>3.2004232125082799E-2</v>
      </c>
      <c r="Q454" s="17">
        <v>3.3793654499172598E-2</v>
      </c>
      <c r="R454" s="17">
        <v>3.3649039761531101E-2</v>
      </c>
      <c r="S454" s="17">
        <v>1.8903961494322601E-2</v>
      </c>
      <c r="T454" s="17">
        <v>2.00042576316097E-2</v>
      </c>
      <c r="U454" s="17">
        <v>2.4516754031147101E-2</v>
      </c>
      <c r="V454" s="17">
        <v>1.8864591250653099E-2</v>
      </c>
      <c r="W454" s="17"/>
      <c r="X454" s="17">
        <v>1.86953955782421E-2</v>
      </c>
      <c r="Y454" s="17">
        <v>3.05291274823359E-2</v>
      </c>
    </row>
    <row r="455" spans="2:25" x14ac:dyDescent="0.35">
      <c r="C455" s="17"/>
      <c r="D455" s="17"/>
      <c r="E455" s="17"/>
      <c r="F455" s="17"/>
      <c r="G455" s="17"/>
      <c r="H455" s="17"/>
      <c r="I455" s="17"/>
      <c r="J455" s="17"/>
      <c r="K455" s="17"/>
      <c r="L455" s="17"/>
      <c r="M455" s="17"/>
      <c r="N455" s="17"/>
      <c r="O455" s="17"/>
      <c r="P455" s="17"/>
      <c r="Q455" s="17"/>
      <c r="R455" s="17"/>
      <c r="S455" s="17"/>
      <c r="T455" s="17"/>
      <c r="U455" s="17"/>
      <c r="V455" s="17"/>
      <c r="W455" s="17"/>
      <c r="X455" s="17"/>
      <c r="Y455" s="17"/>
    </row>
    <row r="456" spans="2:25" x14ac:dyDescent="0.35">
      <c r="B456" s="6" t="s">
        <v>231</v>
      </c>
      <c r="C456" s="17"/>
      <c r="D456" s="17"/>
      <c r="E456" s="17"/>
      <c r="F456" s="17"/>
      <c r="G456" s="17"/>
      <c r="H456" s="17"/>
      <c r="I456" s="17"/>
      <c r="J456" s="17"/>
      <c r="K456" s="17"/>
      <c r="L456" s="17"/>
      <c r="M456" s="17"/>
      <c r="N456" s="17"/>
      <c r="O456" s="17"/>
      <c r="P456" s="17"/>
      <c r="Q456" s="17"/>
      <c r="R456" s="17"/>
      <c r="S456" s="17"/>
      <c r="T456" s="17"/>
      <c r="U456" s="17"/>
      <c r="V456" s="17"/>
      <c r="W456" s="17"/>
      <c r="X456" s="17"/>
      <c r="Y456" s="17"/>
    </row>
    <row r="457" spans="2:25" x14ac:dyDescent="0.35">
      <c r="B457" s="24" t="s">
        <v>50</v>
      </c>
      <c r="C457" s="17"/>
      <c r="D457" s="17"/>
      <c r="E457" s="17"/>
      <c r="F457" s="17"/>
      <c r="G457" s="17"/>
      <c r="H457" s="17"/>
      <c r="I457" s="17"/>
      <c r="J457" s="17"/>
      <c r="K457" s="17"/>
      <c r="L457" s="17"/>
      <c r="M457" s="17"/>
      <c r="N457" s="17"/>
      <c r="O457" s="17"/>
      <c r="P457" s="17"/>
      <c r="Q457" s="17"/>
      <c r="R457" s="17"/>
      <c r="S457" s="17"/>
      <c r="T457" s="17"/>
      <c r="U457" s="17"/>
      <c r="V457" s="17"/>
      <c r="W457" s="17"/>
      <c r="X457" s="17"/>
      <c r="Y457" s="17"/>
    </row>
    <row r="458" spans="2:25" x14ac:dyDescent="0.35">
      <c r="B458" t="s">
        <v>222</v>
      </c>
      <c r="C458" s="17">
        <v>5.7511812668059999E-2</v>
      </c>
      <c r="D458" s="17">
        <v>5.7907537339120199E-2</v>
      </c>
      <c r="E458" s="17">
        <v>5.70874123560247E-2</v>
      </c>
      <c r="F458" s="17"/>
      <c r="G458" s="17">
        <v>5.3125282564840899E-2</v>
      </c>
      <c r="H458" s="17">
        <v>5.0201810714484998E-2</v>
      </c>
      <c r="I458" s="17">
        <v>5.1988104991484499E-2</v>
      </c>
      <c r="J458" s="17">
        <v>4.7189212081220802E-2</v>
      </c>
      <c r="K458" s="17">
        <v>6.5584981208311299E-2</v>
      </c>
      <c r="L458" s="17">
        <v>6.8754876438770193E-2</v>
      </c>
      <c r="M458" s="17"/>
      <c r="N458" s="17">
        <v>5.8248558291139903E-2</v>
      </c>
      <c r="O458" s="17">
        <v>2.2411543970872898E-2</v>
      </c>
      <c r="P458" s="17">
        <v>8.8054352641248806E-2</v>
      </c>
      <c r="Q458" s="17">
        <v>6.4409247715999901E-2</v>
      </c>
      <c r="R458" s="17">
        <v>4.6185572236126099E-2</v>
      </c>
      <c r="S458" s="17">
        <v>4.5557316652482298E-2</v>
      </c>
      <c r="T458" s="17">
        <v>4.2707438134356401E-2</v>
      </c>
      <c r="U458" s="17">
        <v>6.04654139295462E-2</v>
      </c>
      <c r="V458" s="17">
        <v>6.9073400926539699E-2</v>
      </c>
      <c r="W458" s="17"/>
      <c r="X458" s="17">
        <v>5.2287438474590497E-2</v>
      </c>
      <c r="Y458" s="17">
        <v>6.0402806465505103E-2</v>
      </c>
    </row>
    <row r="459" spans="2:25" x14ac:dyDescent="0.35">
      <c r="B459" t="s">
        <v>223</v>
      </c>
      <c r="C459" s="17">
        <v>0.93119894682722204</v>
      </c>
      <c r="D459" s="17">
        <v>0.93079333458153801</v>
      </c>
      <c r="E459" s="17">
        <v>0.93158748241922096</v>
      </c>
      <c r="F459" s="17"/>
      <c r="G459" s="17">
        <v>0.92707671859642504</v>
      </c>
      <c r="H459" s="17">
        <v>0.93820865166541301</v>
      </c>
      <c r="I459" s="17">
        <v>0.93643303668614497</v>
      </c>
      <c r="J459" s="17">
        <v>0.94190486107308902</v>
      </c>
      <c r="K459" s="17">
        <v>0.926479153219673</v>
      </c>
      <c r="L459" s="17">
        <v>0.92101674371522102</v>
      </c>
      <c r="M459" s="17"/>
      <c r="N459" s="17">
        <v>0.94175144170886005</v>
      </c>
      <c r="O459" s="17">
        <v>0.96669974072542697</v>
      </c>
      <c r="P459" s="17">
        <v>0.89031115330556398</v>
      </c>
      <c r="Q459" s="17">
        <v>0.91643407483677997</v>
      </c>
      <c r="R459" s="17">
        <v>0.94953498855187501</v>
      </c>
      <c r="S459" s="17">
        <v>0.94544880647838503</v>
      </c>
      <c r="T459" s="17">
        <v>0.95392413865466896</v>
      </c>
      <c r="U459" s="17">
        <v>0.92514474429520599</v>
      </c>
      <c r="V459" s="17">
        <v>0.92361785461693402</v>
      </c>
      <c r="W459" s="17"/>
      <c r="X459" s="17">
        <v>0.93901690640457303</v>
      </c>
      <c r="Y459" s="17">
        <v>0.92687274969627298</v>
      </c>
    </row>
    <row r="460" spans="2:25" x14ac:dyDescent="0.35">
      <c r="B460" t="s">
        <v>224</v>
      </c>
      <c r="C460" s="17">
        <v>1.1289240504717499E-2</v>
      </c>
      <c r="D460" s="17">
        <v>1.12991280793419E-2</v>
      </c>
      <c r="E460" s="17">
        <v>1.1325105224754399E-2</v>
      </c>
      <c r="F460" s="17"/>
      <c r="G460" s="17">
        <v>1.9797998838734301E-2</v>
      </c>
      <c r="H460" s="17">
        <v>1.15895376201018E-2</v>
      </c>
      <c r="I460" s="17">
        <v>1.1578858322370499E-2</v>
      </c>
      <c r="J460" s="17">
        <v>1.09059268456907E-2</v>
      </c>
      <c r="K460" s="17">
        <v>7.9358655720154405E-3</v>
      </c>
      <c r="L460" s="17">
        <v>1.0228379846008599E-2</v>
      </c>
      <c r="M460" s="17"/>
      <c r="N460" s="17">
        <v>0</v>
      </c>
      <c r="O460" s="17">
        <v>1.08887153036998E-2</v>
      </c>
      <c r="P460" s="17">
        <v>2.1634494053187299E-2</v>
      </c>
      <c r="Q460" s="17">
        <v>1.91566774472204E-2</v>
      </c>
      <c r="R460" s="17">
        <v>4.2794392119992596E-3</v>
      </c>
      <c r="S460" s="17">
        <v>8.9938768691328903E-3</v>
      </c>
      <c r="T460" s="17">
        <v>3.3684232109750401E-3</v>
      </c>
      <c r="U460" s="17">
        <v>1.4389841775248401E-2</v>
      </c>
      <c r="V460" s="17">
        <v>7.3087444565265898E-3</v>
      </c>
      <c r="W460" s="17"/>
      <c r="X460" s="17">
        <v>8.6956551208368198E-3</v>
      </c>
      <c r="Y460" s="17">
        <v>1.27244438382221E-2</v>
      </c>
    </row>
    <row r="461" spans="2:25" x14ac:dyDescent="0.35">
      <c r="C461" s="17"/>
      <c r="D461" s="17"/>
      <c r="E461" s="17"/>
      <c r="F461" s="17"/>
      <c r="G461" s="17"/>
      <c r="H461" s="17"/>
      <c r="I461" s="17"/>
      <c r="J461" s="17"/>
      <c r="K461" s="17"/>
      <c r="L461" s="17"/>
      <c r="M461" s="17"/>
      <c r="N461" s="17"/>
      <c r="O461" s="17"/>
      <c r="P461" s="17"/>
      <c r="Q461" s="17"/>
      <c r="R461" s="17"/>
      <c r="S461" s="17"/>
      <c r="T461" s="17"/>
      <c r="U461" s="17"/>
      <c r="V461" s="17"/>
      <c r="W461" s="17"/>
      <c r="X461" s="17"/>
      <c r="Y461" s="17"/>
    </row>
    <row r="462" spans="2:25" x14ac:dyDescent="0.35">
      <c r="B462" s="6" t="s">
        <v>232</v>
      </c>
      <c r="C462" s="17"/>
      <c r="D462" s="17"/>
      <c r="E462" s="17"/>
      <c r="F462" s="17"/>
      <c r="G462" s="17"/>
      <c r="H462" s="17"/>
      <c r="I462" s="17"/>
      <c r="J462" s="17"/>
      <c r="K462" s="17"/>
      <c r="L462" s="17"/>
      <c r="M462" s="17"/>
      <c r="N462" s="17"/>
      <c r="O462" s="17"/>
      <c r="P462" s="17"/>
      <c r="Q462" s="17"/>
      <c r="R462" s="17"/>
      <c r="S462" s="17"/>
      <c r="T462" s="17"/>
      <c r="U462" s="17"/>
      <c r="V462" s="17"/>
      <c r="W462" s="17"/>
      <c r="X462" s="17"/>
      <c r="Y462" s="17"/>
    </row>
    <row r="463" spans="2:25" x14ac:dyDescent="0.35">
      <c r="B463" s="24" t="s">
        <v>50</v>
      </c>
      <c r="C463" s="17"/>
      <c r="D463" s="17"/>
      <c r="E463" s="17"/>
      <c r="F463" s="17"/>
      <c r="G463" s="17"/>
      <c r="H463" s="17"/>
      <c r="I463" s="17"/>
      <c r="J463" s="17"/>
      <c r="K463" s="17"/>
      <c r="L463" s="17"/>
      <c r="M463" s="17"/>
      <c r="N463" s="17"/>
      <c r="O463" s="17"/>
      <c r="P463" s="17"/>
      <c r="Q463" s="17"/>
      <c r="R463" s="17"/>
      <c r="S463" s="17"/>
      <c r="T463" s="17"/>
      <c r="U463" s="17"/>
      <c r="V463" s="17"/>
      <c r="W463" s="17"/>
      <c r="X463" s="17"/>
      <c r="Y463" s="17"/>
    </row>
    <row r="464" spans="2:25" x14ac:dyDescent="0.35">
      <c r="B464" t="s">
        <v>222</v>
      </c>
      <c r="C464" s="17">
        <v>0.209875527077232</v>
      </c>
      <c r="D464" s="17">
        <v>0.21505140666388001</v>
      </c>
      <c r="E464" s="17">
        <v>0.205023120487275</v>
      </c>
      <c r="F464" s="17"/>
      <c r="G464" s="17">
        <v>9.6428771171179706E-2</v>
      </c>
      <c r="H464" s="17">
        <v>0.118612965060385</v>
      </c>
      <c r="I464" s="17">
        <v>0.13546697722531301</v>
      </c>
      <c r="J464" s="17">
        <v>0.188721258097552</v>
      </c>
      <c r="K464" s="17">
        <v>0.26699561967890201</v>
      </c>
      <c r="L464" s="17">
        <v>0.33070819376538602</v>
      </c>
      <c r="M464" s="17"/>
      <c r="N464" s="17">
        <v>0.35699760794699698</v>
      </c>
      <c r="O464" s="17">
        <v>0.32978042269502</v>
      </c>
      <c r="P464" s="17">
        <v>0.26701948129136199</v>
      </c>
      <c r="Q464" s="17">
        <v>0.29677834000646403</v>
      </c>
      <c r="R464" s="17">
        <v>0.18132597020137001</v>
      </c>
      <c r="S464" s="17">
        <v>0.18079761425854499</v>
      </c>
      <c r="T464" s="17">
        <v>9.0891725735430098E-2</v>
      </c>
      <c r="U464" s="17">
        <v>0.173366258055834</v>
      </c>
      <c r="V464" s="17">
        <v>0.24848107388490201</v>
      </c>
      <c r="W464" s="17"/>
      <c r="X464" s="17">
        <v>0.188043341523426</v>
      </c>
      <c r="Y464" s="17">
        <v>0.221956727749959</v>
      </c>
    </row>
    <row r="465" spans="2:25" x14ac:dyDescent="0.35">
      <c r="B465" t="s">
        <v>223</v>
      </c>
      <c r="C465" s="17">
        <v>0.76218952556004405</v>
      </c>
      <c r="D465" s="17">
        <v>0.75953985919279998</v>
      </c>
      <c r="E465" s="17">
        <v>0.764551974324303</v>
      </c>
      <c r="F465" s="17"/>
      <c r="G465" s="17">
        <v>0.87659993970475902</v>
      </c>
      <c r="H465" s="17">
        <v>0.86346803354758594</v>
      </c>
      <c r="I465" s="17">
        <v>0.84297992323181203</v>
      </c>
      <c r="J465" s="17">
        <v>0.78242417394939601</v>
      </c>
      <c r="K465" s="17">
        <v>0.70866738725475298</v>
      </c>
      <c r="L465" s="17">
        <v>0.629235471708393</v>
      </c>
      <c r="M465" s="17"/>
      <c r="N465" s="17">
        <v>0.61566653896396695</v>
      </c>
      <c r="O465" s="17">
        <v>0.59740487285028698</v>
      </c>
      <c r="P465" s="17">
        <v>0.68532256122739899</v>
      </c>
      <c r="Q465" s="17">
        <v>0.67704090756067303</v>
      </c>
      <c r="R465" s="17">
        <v>0.78523138043753005</v>
      </c>
      <c r="S465" s="17">
        <v>0.80525906587252105</v>
      </c>
      <c r="T465" s="17">
        <v>0.90050241941407205</v>
      </c>
      <c r="U465" s="17">
        <v>0.79888846383683099</v>
      </c>
      <c r="V465" s="17">
        <v>0.72031902210669996</v>
      </c>
      <c r="W465" s="17"/>
      <c r="X465" s="17">
        <v>0.79445368721481302</v>
      </c>
      <c r="Y465" s="17">
        <v>0.74433561851404995</v>
      </c>
    </row>
    <row r="466" spans="2:25" x14ac:dyDescent="0.35">
      <c r="B466" t="s">
        <v>224</v>
      </c>
      <c r="C466" s="17">
        <v>2.7934947362723402E-2</v>
      </c>
      <c r="D466" s="17">
        <v>2.5408734143319699E-2</v>
      </c>
      <c r="E466" s="17">
        <v>3.0424905188422301E-2</v>
      </c>
      <c r="F466" s="17"/>
      <c r="G466" s="17">
        <v>2.69712891240615E-2</v>
      </c>
      <c r="H466" s="17">
        <v>1.7919001392028101E-2</v>
      </c>
      <c r="I466" s="17">
        <v>2.1553099542874099E-2</v>
      </c>
      <c r="J466" s="17">
        <v>2.8854567953051798E-2</v>
      </c>
      <c r="K466" s="17">
        <v>2.4336993066345E-2</v>
      </c>
      <c r="L466" s="17">
        <v>4.0056334526220802E-2</v>
      </c>
      <c r="M466" s="17"/>
      <c r="N466" s="17">
        <v>2.7335853089036102E-2</v>
      </c>
      <c r="O466" s="17">
        <v>7.2814704454692805E-2</v>
      </c>
      <c r="P466" s="17">
        <v>4.7657957481238397E-2</v>
      </c>
      <c r="Q466" s="17">
        <v>2.61807524328635E-2</v>
      </c>
      <c r="R466" s="17">
        <v>3.3442649361100099E-2</v>
      </c>
      <c r="S466" s="17">
        <v>1.3943319868934E-2</v>
      </c>
      <c r="T466" s="17">
        <v>8.6058548504976008E-3</v>
      </c>
      <c r="U466" s="17">
        <v>2.7745278107334698E-2</v>
      </c>
      <c r="V466" s="17">
        <v>3.1199904008398002E-2</v>
      </c>
      <c r="W466" s="17"/>
      <c r="X466" s="17">
        <v>1.75029712617608E-2</v>
      </c>
      <c r="Y466" s="17">
        <v>3.3707653735991203E-2</v>
      </c>
    </row>
    <row r="467" spans="2:25" x14ac:dyDescent="0.35">
      <c r="C467" s="17"/>
      <c r="D467" s="17"/>
      <c r="E467" s="17"/>
      <c r="F467" s="17"/>
      <c r="G467" s="17"/>
      <c r="H467" s="17"/>
      <c r="I467" s="17"/>
      <c r="J467" s="17"/>
      <c r="K467" s="17"/>
      <c r="L467" s="17"/>
      <c r="M467" s="17"/>
      <c r="N467" s="17"/>
      <c r="O467" s="17"/>
      <c r="P467" s="17"/>
      <c r="Q467" s="17"/>
      <c r="R467" s="17"/>
      <c r="S467" s="17"/>
      <c r="T467" s="17"/>
      <c r="U467" s="17"/>
      <c r="V467" s="17"/>
      <c r="W467" s="17"/>
      <c r="X467" s="17"/>
      <c r="Y467" s="17"/>
    </row>
    <row r="468" spans="2:25" x14ac:dyDescent="0.35">
      <c r="B468" s="6" t="s">
        <v>233</v>
      </c>
      <c r="C468" s="17"/>
      <c r="D468" s="17"/>
      <c r="E468" s="17"/>
      <c r="F468" s="17"/>
      <c r="G468" s="17"/>
      <c r="H468" s="17"/>
      <c r="I468" s="17"/>
      <c r="J468" s="17"/>
      <c r="K468" s="17"/>
      <c r="L468" s="17"/>
      <c r="M468" s="17"/>
      <c r="N468" s="17"/>
      <c r="O468" s="17"/>
      <c r="P468" s="17"/>
      <c r="Q468" s="17"/>
      <c r="R468" s="17"/>
      <c r="S468" s="17"/>
      <c r="T468" s="17"/>
      <c r="U468" s="17"/>
      <c r="V468" s="17"/>
      <c r="W468" s="17"/>
      <c r="X468" s="17"/>
      <c r="Y468" s="17"/>
    </row>
    <row r="469" spans="2:25" x14ac:dyDescent="0.35">
      <c r="B469" s="24" t="s">
        <v>50</v>
      </c>
      <c r="C469" s="17"/>
      <c r="D469" s="17"/>
      <c r="E469" s="17"/>
      <c r="F469" s="17"/>
      <c r="G469" s="17"/>
      <c r="H469" s="17"/>
      <c r="I469" s="17"/>
      <c r="J469" s="17"/>
      <c r="K469" s="17"/>
      <c r="L469" s="17"/>
      <c r="M469" s="17"/>
      <c r="N469" s="17"/>
      <c r="O469" s="17"/>
      <c r="P469" s="17"/>
      <c r="Q469" s="17"/>
      <c r="R469" s="17"/>
      <c r="S469" s="17"/>
      <c r="T469" s="17"/>
      <c r="U469" s="17"/>
      <c r="V469" s="17"/>
      <c r="W469" s="17"/>
      <c r="X469" s="17"/>
      <c r="Y469" s="17"/>
    </row>
    <row r="470" spans="2:25" x14ac:dyDescent="0.35">
      <c r="B470" t="s">
        <v>222</v>
      </c>
      <c r="C470" s="17">
        <v>0.27870172999433501</v>
      </c>
      <c r="D470" s="17">
        <v>0.26364757681121598</v>
      </c>
      <c r="E470" s="17">
        <v>0.29256494312918302</v>
      </c>
      <c r="F470" s="17"/>
      <c r="G470" s="17">
        <v>0.116816956213076</v>
      </c>
      <c r="H470" s="17">
        <v>0.175531234769572</v>
      </c>
      <c r="I470" s="17">
        <v>0.190884862392217</v>
      </c>
      <c r="J470" s="17">
        <v>0.26261148059352901</v>
      </c>
      <c r="K470" s="17">
        <v>0.35616883915398501</v>
      </c>
      <c r="L470" s="17">
        <v>0.41635727237637798</v>
      </c>
      <c r="M470" s="17"/>
      <c r="N470" s="17">
        <v>0.34881308866226002</v>
      </c>
      <c r="O470" s="17">
        <v>0.35781132467167398</v>
      </c>
      <c r="P470" s="17">
        <v>0.30887877972944899</v>
      </c>
      <c r="Q470" s="17">
        <v>0.33594623111376798</v>
      </c>
      <c r="R470" s="17">
        <v>0.194932882558943</v>
      </c>
      <c r="S470" s="17">
        <v>0.28482911492410601</v>
      </c>
      <c r="T470" s="17">
        <v>0.239407957871653</v>
      </c>
      <c r="U470" s="17">
        <v>0.238645607909758</v>
      </c>
      <c r="V470" s="17">
        <v>0.37726675910041202</v>
      </c>
      <c r="W470" s="17"/>
      <c r="X470" s="17">
        <v>0.21092729070479599</v>
      </c>
      <c r="Y470" s="17">
        <v>0.316205836008849</v>
      </c>
    </row>
    <row r="471" spans="2:25" x14ac:dyDescent="0.35">
      <c r="B471" t="s">
        <v>223</v>
      </c>
      <c r="C471" s="17">
        <v>0.69338150377157604</v>
      </c>
      <c r="D471" s="17">
        <v>0.709689253093161</v>
      </c>
      <c r="E471" s="17">
        <v>0.67822644803754495</v>
      </c>
      <c r="F471" s="17"/>
      <c r="G471" s="17">
        <v>0.86643386315502902</v>
      </c>
      <c r="H471" s="17">
        <v>0.807346605813695</v>
      </c>
      <c r="I471" s="17">
        <v>0.78252605314557899</v>
      </c>
      <c r="J471" s="17">
        <v>0.70999694898939003</v>
      </c>
      <c r="K471" s="17">
        <v>0.61276544099215802</v>
      </c>
      <c r="L471" s="17">
        <v>0.54604190087686399</v>
      </c>
      <c r="M471" s="17"/>
      <c r="N471" s="17">
        <v>0.63072319187522996</v>
      </c>
      <c r="O471" s="17">
        <v>0.61826929899146499</v>
      </c>
      <c r="P471" s="17">
        <v>0.64045537142509701</v>
      </c>
      <c r="Q471" s="17">
        <v>0.63532550261377396</v>
      </c>
      <c r="R471" s="17">
        <v>0.78227742434791303</v>
      </c>
      <c r="S471" s="17">
        <v>0.69868918568107696</v>
      </c>
      <c r="T471" s="17">
        <v>0.73770916688787902</v>
      </c>
      <c r="U471" s="17">
        <v>0.72939433367627704</v>
      </c>
      <c r="V471" s="17">
        <v>0.60373650261306699</v>
      </c>
      <c r="W471" s="17"/>
      <c r="X471" s="17">
        <v>0.76641289126279999</v>
      </c>
      <c r="Y471" s="17">
        <v>0.65296837859385704</v>
      </c>
    </row>
    <row r="472" spans="2:25" x14ac:dyDescent="0.35">
      <c r="B472" t="s">
        <v>224</v>
      </c>
      <c r="C472" s="17">
        <v>2.7916766234088501E-2</v>
      </c>
      <c r="D472" s="17">
        <v>2.6663170095622701E-2</v>
      </c>
      <c r="E472" s="17">
        <v>2.92086088332719E-2</v>
      </c>
      <c r="F472" s="17"/>
      <c r="G472" s="17">
        <v>1.6749180631895001E-2</v>
      </c>
      <c r="H472" s="17">
        <v>1.7122159416733E-2</v>
      </c>
      <c r="I472" s="17">
        <v>2.6589084462204499E-2</v>
      </c>
      <c r="J472" s="17">
        <v>2.7391570417081301E-2</v>
      </c>
      <c r="K472" s="17">
        <v>3.1065719853857102E-2</v>
      </c>
      <c r="L472" s="17">
        <v>3.7600826746758298E-2</v>
      </c>
      <c r="M472" s="17"/>
      <c r="N472" s="17">
        <v>2.0463719462510001E-2</v>
      </c>
      <c r="O472" s="17">
        <v>2.39193763368604E-2</v>
      </c>
      <c r="P472" s="17">
        <v>5.06658488454544E-2</v>
      </c>
      <c r="Q472" s="17">
        <v>2.8728266272457999E-2</v>
      </c>
      <c r="R472" s="17">
        <v>2.27896930931447E-2</v>
      </c>
      <c r="S472" s="17">
        <v>1.6481699394817799E-2</v>
      </c>
      <c r="T472" s="17">
        <v>2.2882875240468399E-2</v>
      </c>
      <c r="U472" s="17">
        <v>3.1960058413965799E-2</v>
      </c>
      <c r="V472" s="17">
        <v>1.8996738286521601E-2</v>
      </c>
      <c r="W472" s="17"/>
      <c r="X472" s="17">
        <v>2.2659818032404001E-2</v>
      </c>
      <c r="Y472" s="17">
        <v>3.0825785397294199E-2</v>
      </c>
    </row>
    <row r="473" spans="2:25" x14ac:dyDescent="0.35">
      <c r="C473" s="17"/>
      <c r="D473" s="17"/>
      <c r="E473" s="17"/>
      <c r="F473" s="17"/>
      <c r="G473" s="17"/>
      <c r="H473" s="17"/>
      <c r="I473" s="17"/>
      <c r="J473" s="17"/>
      <c r="K473" s="17"/>
      <c r="L473" s="17"/>
      <c r="M473" s="17"/>
      <c r="N473" s="17"/>
      <c r="O473" s="17"/>
      <c r="P473" s="17"/>
      <c r="Q473" s="17"/>
      <c r="R473" s="17"/>
      <c r="S473" s="17"/>
      <c r="T473" s="17"/>
      <c r="U473" s="17"/>
      <c r="V473" s="17"/>
      <c r="W473" s="17"/>
      <c r="X473" s="17"/>
      <c r="Y473" s="17"/>
    </row>
    <row r="474" spans="2:25" x14ac:dyDescent="0.35">
      <c r="B474" s="6" t="s">
        <v>234</v>
      </c>
      <c r="C474" s="17"/>
      <c r="D474" s="17"/>
      <c r="E474" s="17"/>
      <c r="F474" s="17"/>
      <c r="G474" s="17"/>
      <c r="H474" s="17"/>
      <c r="I474" s="17"/>
      <c r="J474" s="17"/>
      <c r="K474" s="17"/>
      <c r="L474" s="17"/>
      <c r="M474" s="17"/>
      <c r="N474" s="17"/>
      <c r="O474" s="17"/>
      <c r="P474" s="17"/>
      <c r="Q474" s="17"/>
      <c r="R474" s="17"/>
      <c r="S474" s="17"/>
      <c r="T474" s="17"/>
      <c r="U474" s="17"/>
      <c r="V474" s="17"/>
      <c r="W474" s="17"/>
      <c r="X474" s="17"/>
      <c r="Y474" s="17"/>
    </row>
    <row r="475" spans="2:25" x14ac:dyDescent="0.35">
      <c r="B475" s="24" t="s">
        <v>50</v>
      </c>
      <c r="C475" s="17"/>
      <c r="D475" s="17"/>
      <c r="E475" s="17"/>
      <c r="F475" s="17"/>
      <c r="G475" s="17"/>
      <c r="H475" s="17"/>
      <c r="I475" s="17"/>
      <c r="J475" s="17"/>
      <c r="K475" s="17"/>
      <c r="L475" s="17"/>
      <c r="M475" s="17"/>
      <c r="N475" s="17"/>
      <c r="O475" s="17"/>
      <c r="P475" s="17"/>
      <c r="Q475" s="17"/>
      <c r="R475" s="17"/>
      <c r="S475" s="17"/>
      <c r="T475" s="17"/>
      <c r="U475" s="17"/>
      <c r="V475" s="17"/>
      <c r="W475" s="17"/>
      <c r="X475" s="17"/>
      <c r="Y475" s="17"/>
    </row>
    <row r="476" spans="2:25" x14ac:dyDescent="0.35">
      <c r="B476" t="s">
        <v>222</v>
      </c>
      <c r="C476" s="17">
        <v>0.57332687516727299</v>
      </c>
      <c r="D476" s="17">
        <v>0.54865660753879297</v>
      </c>
      <c r="E476" s="17">
        <v>0.59737765226436301</v>
      </c>
      <c r="F476" s="17"/>
      <c r="G476" s="17">
        <v>0.46235668206018299</v>
      </c>
      <c r="H476" s="17">
        <v>0.473921194471072</v>
      </c>
      <c r="I476" s="17">
        <v>0.50769814784549605</v>
      </c>
      <c r="J476" s="17">
        <v>0.53287186925982399</v>
      </c>
      <c r="K476" s="17">
        <v>0.64512432300506395</v>
      </c>
      <c r="L476" s="17">
        <v>0.695954878888008</v>
      </c>
      <c r="M476" s="17"/>
      <c r="N476" s="17">
        <v>0.61053727289109805</v>
      </c>
      <c r="O476" s="17">
        <v>0.58895468131734696</v>
      </c>
      <c r="P476" s="17">
        <v>0.59747091420892195</v>
      </c>
      <c r="Q476" s="17">
        <v>0.62371398240015197</v>
      </c>
      <c r="R476" s="17">
        <v>0.564366335656176</v>
      </c>
      <c r="S476" s="17">
        <v>0.71724450861696698</v>
      </c>
      <c r="T476" s="17">
        <v>0.41331489836506402</v>
      </c>
      <c r="U476" s="17">
        <v>0.49698639820905499</v>
      </c>
      <c r="V476" s="17">
        <v>0.61435747533891405</v>
      </c>
      <c r="W476" s="17"/>
      <c r="X476" s="17">
        <v>0.51263044641870203</v>
      </c>
      <c r="Y476" s="17">
        <v>0.60691424707844299</v>
      </c>
    </row>
    <row r="477" spans="2:25" x14ac:dyDescent="0.35">
      <c r="B477" t="s">
        <v>223</v>
      </c>
      <c r="C477" s="17">
        <v>0.37011838719271001</v>
      </c>
      <c r="D477" s="17">
        <v>0.39957673207053501</v>
      </c>
      <c r="E477" s="17">
        <v>0.34164822423164798</v>
      </c>
      <c r="F477" s="17"/>
      <c r="G477" s="17">
        <v>0.48979340839066898</v>
      </c>
      <c r="H477" s="17">
        <v>0.47764076234727798</v>
      </c>
      <c r="I477" s="17">
        <v>0.45121371742937399</v>
      </c>
      <c r="J477" s="17">
        <v>0.40333484009124199</v>
      </c>
      <c r="K477" s="17">
        <v>0.299138942816215</v>
      </c>
      <c r="L477" s="17">
        <v>0.23393288655199801</v>
      </c>
      <c r="M477" s="17"/>
      <c r="N477" s="17">
        <v>0.34119813814524602</v>
      </c>
      <c r="O477" s="17">
        <v>0.36657788501374799</v>
      </c>
      <c r="P477" s="17">
        <v>0.32700710513611603</v>
      </c>
      <c r="Q477" s="17">
        <v>0.33234930259345502</v>
      </c>
      <c r="R477" s="17">
        <v>0.34794759499720501</v>
      </c>
      <c r="S477" s="17">
        <v>0.238862646397803</v>
      </c>
      <c r="T477" s="17">
        <v>0.54245970087100004</v>
      </c>
      <c r="U477" s="17">
        <v>0.44580302287714002</v>
      </c>
      <c r="V477" s="17">
        <v>0.35136051649397398</v>
      </c>
      <c r="W477" s="17"/>
      <c r="X477" s="17">
        <v>0.449794871438223</v>
      </c>
      <c r="Y477" s="17">
        <v>0.32602808790979598</v>
      </c>
    </row>
    <row r="478" spans="2:25" x14ac:dyDescent="0.35">
      <c r="B478" t="s">
        <v>224</v>
      </c>
      <c r="C478" s="17">
        <v>5.6554737640016901E-2</v>
      </c>
      <c r="D478" s="17">
        <v>5.1766660390672903E-2</v>
      </c>
      <c r="E478" s="17">
        <v>6.0974123503989203E-2</v>
      </c>
      <c r="F478" s="17"/>
      <c r="G478" s="17">
        <v>4.7849909549148299E-2</v>
      </c>
      <c r="H478" s="17">
        <v>4.8438043181649501E-2</v>
      </c>
      <c r="I478" s="17">
        <v>4.1088134725129503E-2</v>
      </c>
      <c r="J478" s="17">
        <v>6.3793290648933798E-2</v>
      </c>
      <c r="K478" s="17">
        <v>5.5736734178720701E-2</v>
      </c>
      <c r="L478" s="17">
        <v>7.0112234559994394E-2</v>
      </c>
      <c r="M478" s="17"/>
      <c r="N478" s="17">
        <v>4.8264588963655902E-2</v>
      </c>
      <c r="O478" s="17">
        <v>4.4467433668905203E-2</v>
      </c>
      <c r="P478" s="17">
        <v>7.5521980654962503E-2</v>
      </c>
      <c r="Q478" s="17">
        <v>4.3936715006392402E-2</v>
      </c>
      <c r="R478" s="17">
        <v>8.76860693466196E-2</v>
      </c>
      <c r="S478" s="17">
        <v>4.3892844985229398E-2</v>
      </c>
      <c r="T478" s="17">
        <v>4.4225400763936301E-2</v>
      </c>
      <c r="U478" s="17">
        <v>5.7210578913805599E-2</v>
      </c>
      <c r="V478" s="17">
        <v>3.4282008167112001E-2</v>
      </c>
      <c r="W478" s="17"/>
      <c r="X478" s="17">
        <v>3.7574682143074897E-2</v>
      </c>
      <c r="Y478" s="17">
        <v>6.7057665011760401E-2</v>
      </c>
    </row>
    <row r="479" spans="2:25" x14ac:dyDescent="0.35">
      <c r="C479" s="17"/>
      <c r="D479" s="17"/>
      <c r="E479" s="17"/>
      <c r="F479" s="17"/>
      <c r="G479" s="17"/>
      <c r="H479" s="17"/>
      <c r="I479" s="17"/>
      <c r="J479" s="17"/>
      <c r="K479" s="17"/>
      <c r="L479" s="17"/>
      <c r="M479" s="17"/>
      <c r="N479" s="17"/>
      <c r="O479" s="17"/>
      <c r="P479" s="17"/>
      <c r="Q479" s="17"/>
      <c r="R479" s="17"/>
      <c r="S479" s="17"/>
      <c r="T479" s="17"/>
      <c r="U479" s="17"/>
      <c r="V479" s="17"/>
      <c r="W479" s="17"/>
      <c r="X479" s="17"/>
      <c r="Y479" s="17"/>
    </row>
    <row r="480" spans="2:25" x14ac:dyDescent="0.35">
      <c r="B480" s="6" t="s">
        <v>235</v>
      </c>
      <c r="C480" s="17"/>
      <c r="D480" s="17"/>
      <c r="E480" s="17"/>
      <c r="F480" s="17"/>
      <c r="G480" s="17"/>
      <c r="H480" s="17"/>
      <c r="I480" s="17"/>
      <c r="J480" s="17"/>
      <c r="K480" s="17"/>
      <c r="L480" s="17"/>
      <c r="M480" s="17"/>
      <c r="N480" s="17"/>
      <c r="O480" s="17"/>
      <c r="P480" s="17"/>
      <c r="Q480" s="17"/>
      <c r="R480" s="17"/>
      <c r="S480" s="17"/>
      <c r="T480" s="17"/>
      <c r="U480" s="17"/>
      <c r="V480" s="17"/>
      <c r="W480" s="17"/>
      <c r="X480" s="17"/>
      <c r="Y480" s="17"/>
    </row>
    <row r="481" spans="2:25" x14ac:dyDescent="0.35">
      <c r="B481" s="24" t="s">
        <v>50</v>
      </c>
      <c r="C481" s="17"/>
      <c r="D481" s="17"/>
      <c r="E481" s="17"/>
      <c r="F481" s="17"/>
      <c r="G481" s="17"/>
      <c r="H481" s="17"/>
      <c r="I481" s="17"/>
      <c r="J481" s="17"/>
      <c r="K481" s="17"/>
      <c r="L481" s="17"/>
      <c r="M481" s="17"/>
      <c r="N481" s="17"/>
      <c r="O481" s="17"/>
      <c r="P481" s="17"/>
      <c r="Q481" s="17"/>
      <c r="R481" s="17"/>
      <c r="S481" s="17"/>
      <c r="T481" s="17"/>
      <c r="U481" s="17"/>
      <c r="V481" s="17"/>
      <c r="W481" s="17"/>
      <c r="X481" s="17"/>
      <c r="Y481" s="17"/>
    </row>
    <row r="482" spans="2:25" x14ac:dyDescent="0.35">
      <c r="B482" t="s">
        <v>222</v>
      </c>
      <c r="C482" s="17">
        <v>0.32173727759444098</v>
      </c>
      <c r="D482" s="17">
        <v>0.266971498594404</v>
      </c>
      <c r="E482" s="17">
        <v>0.37315182143334003</v>
      </c>
      <c r="F482" s="17"/>
      <c r="G482" s="17">
        <v>0.21904236847126199</v>
      </c>
      <c r="H482" s="17">
        <v>0.221071342701957</v>
      </c>
      <c r="I482" s="17">
        <v>0.25487901714654698</v>
      </c>
      <c r="J482" s="17">
        <v>0.296492082449617</v>
      </c>
      <c r="K482" s="17">
        <v>0.37142705152317901</v>
      </c>
      <c r="L482" s="17">
        <v>0.44697849202358497</v>
      </c>
      <c r="M482" s="17"/>
      <c r="N482" s="17">
        <v>0.40472744418568402</v>
      </c>
      <c r="O482" s="17">
        <v>0.283641792637644</v>
      </c>
      <c r="P482" s="17">
        <v>0.34988037469313199</v>
      </c>
      <c r="Q482" s="17">
        <v>0.36014029131729902</v>
      </c>
      <c r="R482" s="17">
        <v>0.285745511376018</v>
      </c>
      <c r="S482" s="17">
        <v>0.332950521538045</v>
      </c>
      <c r="T482" s="17">
        <v>0.24404861485628701</v>
      </c>
      <c r="U482" s="17">
        <v>0.32365529902717499</v>
      </c>
      <c r="V482" s="17">
        <v>0.38305407347713</v>
      </c>
      <c r="W482" s="17"/>
      <c r="X482" s="17">
        <v>0.22128727011421501</v>
      </c>
      <c r="Y482" s="17">
        <v>0.377322949260464</v>
      </c>
    </row>
    <row r="483" spans="2:25" x14ac:dyDescent="0.35">
      <c r="B483" t="s">
        <v>223</v>
      </c>
      <c r="C483" s="17">
        <v>0.64445236042271803</v>
      </c>
      <c r="D483" s="17">
        <v>0.70648164844080896</v>
      </c>
      <c r="E483" s="17">
        <v>0.58606465573034405</v>
      </c>
      <c r="F483" s="17"/>
      <c r="G483" s="17">
        <v>0.76328074752391195</v>
      </c>
      <c r="H483" s="17">
        <v>0.75335245085110503</v>
      </c>
      <c r="I483" s="17">
        <v>0.71497699578252505</v>
      </c>
      <c r="J483" s="17">
        <v>0.66598270078324895</v>
      </c>
      <c r="K483" s="17">
        <v>0.59321107674984097</v>
      </c>
      <c r="L483" s="17">
        <v>0.50954059822159303</v>
      </c>
      <c r="M483" s="17"/>
      <c r="N483" s="17">
        <v>0.58622435479498702</v>
      </c>
      <c r="O483" s="17">
        <v>0.67200585965853499</v>
      </c>
      <c r="P483" s="17">
        <v>0.59486151430120204</v>
      </c>
      <c r="Q483" s="17">
        <v>0.61201382842528695</v>
      </c>
      <c r="R483" s="17">
        <v>0.67938548304773405</v>
      </c>
      <c r="S483" s="17">
        <v>0.639763001749586</v>
      </c>
      <c r="T483" s="17">
        <v>0.72692788085378501</v>
      </c>
      <c r="U483" s="17">
        <v>0.63797876022442801</v>
      </c>
      <c r="V483" s="17">
        <v>0.59981647570734997</v>
      </c>
      <c r="W483" s="17"/>
      <c r="X483" s="17">
        <v>0.75497423323925905</v>
      </c>
      <c r="Y483" s="17">
        <v>0.58329325562620105</v>
      </c>
    </row>
    <row r="484" spans="2:25" x14ac:dyDescent="0.35">
      <c r="B484" t="s">
        <v>224</v>
      </c>
      <c r="C484" s="17">
        <v>3.3810361982840202E-2</v>
      </c>
      <c r="D484" s="17">
        <v>2.6546852964787301E-2</v>
      </c>
      <c r="E484" s="17">
        <v>4.0783522836315998E-2</v>
      </c>
      <c r="F484" s="17"/>
      <c r="G484" s="17">
        <v>1.7676884004826501E-2</v>
      </c>
      <c r="H484" s="17">
        <v>2.5576206446937502E-2</v>
      </c>
      <c r="I484" s="17">
        <v>3.0143987070927698E-2</v>
      </c>
      <c r="J484" s="17">
        <v>3.7525216767134599E-2</v>
      </c>
      <c r="K484" s="17">
        <v>3.53618717269805E-2</v>
      </c>
      <c r="L484" s="17">
        <v>4.3480909754821002E-2</v>
      </c>
      <c r="M484" s="17"/>
      <c r="N484" s="17">
        <v>9.0482010193279894E-3</v>
      </c>
      <c r="O484" s="17">
        <v>4.4352347703820703E-2</v>
      </c>
      <c r="P484" s="17">
        <v>5.5258111005666299E-2</v>
      </c>
      <c r="Q484" s="17">
        <v>2.7845880257414898E-2</v>
      </c>
      <c r="R484" s="17">
        <v>3.48690055762471E-2</v>
      </c>
      <c r="S484" s="17">
        <v>2.7286476712369501E-2</v>
      </c>
      <c r="T484" s="17">
        <v>2.9023504289927799E-2</v>
      </c>
      <c r="U484" s="17">
        <v>3.8365940748396901E-2</v>
      </c>
      <c r="V484" s="17">
        <v>1.7129450815519798E-2</v>
      </c>
      <c r="W484" s="17"/>
      <c r="X484" s="17">
        <v>2.3738496646526198E-2</v>
      </c>
      <c r="Y484" s="17">
        <v>3.9383795113335097E-2</v>
      </c>
    </row>
    <row r="485" spans="2:25" x14ac:dyDescent="0.35">
      <c r="C485" s="17"/>
      <c r="D485" s="17"/>
      <c r="E485" s="17"/>
      <c r="F485" s="17"/>
      <c r="G485" s="17"/>
      <c r="H485" s="17"/>
      <c r="I485" s="17"/>
      <c r="J485" s="17"/>
      <c r="K485" s="17"/>
      <c r="L485" s="17"/>
      <c r="M485" s="17"/>
      <c r="N485" s="17"/>
      <c r="O485" s="17"/>
      <c r="P485" s="17"/>
      <c r="Q485" s="17"/>
      <c r="R485" s="17"/>
      <c r="S485" s="17"/>
      <c r="T485" s="17"/>
      <c r="U485" s="17"/>
      <c r="V485" s="17"/>
      <c r="W485" s="17"/>
      <c r="X485" s="17"/>
      <c r="Y485" s="17"/>
    </row>
    <row r="486" spans="2:25" x14ac:dyDescent="0.35">
      <c r="B486" s="6" t="s">
        <v>236</v>
      </c>
      <c r="C486" s="17"/>
      <c r="D486" s="17"/>
      <c r="E486" s="17"/>
      <c r="F486" s="17"/>
      <c r="G486" s="17"/>
      <c r="H486" s="17"/>
      <c r="I486" s="17"/>
      <c r="J486" s="17"/>
      <c r="K486" s="17"/>
      <c r="L486" s="17"/>
      <c r="M486" s="17"/>
      <c r="N486" s="17"/>
      <c r="O486" s="17"/>
      <c r="P486" s="17"/>
      <c r="Q486" s="17"/>
      <c r="R486" s="17"/>
      <c r="S486" s="17"/>
      <c r="T486" s="17"/>
      <c r="U486" s="17"/>
      <c r="V486" s="17"/>
      <c r="W486" s="17"/>
      <c r="X486" s="17"/>
      <c r="Y486" s="17"/>
    </row>
    <row r="487" spans="2:25" x14ac:dyDescent="0.35">
      <c r="B487" s="24" t="s">
        <v>50</v>
      </c>
      <c r="C487" s="17"/>
      <c r="D487" s="17"/>
      <c r="E487" s="17"/>
      <c r="F487" s="17"/>
      <c r="G487" s="17"/>
      <c r="H487" s="17"/>
      <c r="I487" s="17"/>
      <c r="J487" s="17"/>
      <c r="K487" s="17"/>
      <c r="L487" s="17"/>
      <c r="M487" s="17"/>
      <c r="N487" s="17"/>
      <c r="O487" s="17"/>
      <c r="P487" s="17"/>
      <c r="Q487" s="17"/>
      <c r="R487" s="17"/>
      <c r="S487" s="17"/>
      <c r="T487" s="17"/>
      <c r="U487" s="17"/>
      <c r="V487" s="17"/>
      <c r="W487" s="17"/>
      <c r="X487" s="17"/>
      <c r="Y487" s="17"/>
    </row>
    <row r="488" spans="2:25" x14ac:dyDescent="0.35">
      <c r="B488" t="s">
        <v>222</v>
      </c>
      <c r="C488" s="17">
        <v>0.29267674570056001</v>
      </c>
      <c r="D488" s="17">
        <v>0.23422718520282601</v>
      </c>
      <c r="E488" s="17">
        <v>0.348314414616332</v>
      </c>
      <c r="F488" s="17"/>
      <c r="G488" s="17">
        <v>0.15101185908547199</v>
      </c>
      <c r="H488" s="17">
        <v>0.16832640161843501</v>
      </c>
      <c r="I488" s="17">
        <v>0.19266748510972001</v>
      </c>
      <c r="J488" s="17">
        <v>0.25955001819642298</v>
      </c>
      <c r="K488" s="17">
        <v>0.386313553587049</v>
      </c>
      <c r="L488" s="17">
        <v>0.44416516947774198</v>
      </c>
      <c r="M488" s="17"/>
      <c r="N488" s="17">
        <v>0.26195098435127001</v>
      </c>
      <c r="O488" s="17">
        <v>0.32086425678923097</v>
      </c>
      <c r="P488" s="17">
        <v>0.34698759653828798</v>
      </c>
      <c r="Q488" s="17">
        <v>0.340706767116913</v>
      </c>
      <c r="R488" s="17">
        <v>0.24142618184356099</v>
      </c>
      <c r="S488" s="17">
        <v>0.32949032826963698</v>
      </c>
      <c r="T488" s="17">
        <v>0.22560619548147301</v>
      </c>
      <c r="U488" s="17">
        <v>0.29211086373325601</v>
      </c>
      <c r="V488" s="17">
        <v>0.24519003186494401</v>
      </c>
      <c r="W488" s="17"/>
      <c r="X488" s="17">
        <v>0.22390123424844999</v>
      </c>
      <c r="Y488" s="17">
        <v>0.33073481153985201</v>
      </c>
    </row>
    <row r="489" spans="2:25" x14ac:dyDescent="0.35">
      <c r="B489" t="s">
        <v>223</v>
      </c>
      <c r="C489" s="17">
        <v>0.67100902734585799</v>
      </c>
      <c r="D489" s="17">
        <v>0.73888131178570704</v>
      </c>
      <c r="E489" s="17">
        <v>0.60635549237152098</v>
      </c>
      <c r="F489" s="17"/>
      <c r="G489" s="17">
        <v>0.80962804557526702</v>
      </c>
      <c r="H489" s="17">
        <v>0.80997525332362996</v>
      </c>
      <c r="I489" s="17">
        <v>0.78686623433239</v>
      </c>
      <c r="J489" s="17">
        <v>0.69829047034764802</v>
      </c>
      <c r="K489" s="17">
        <v>0.58015998674750902</v>
      </c>
      <c r="L489" s="17">
        <v>0.50399542927613605</v>
      </c>
      <c r="M489" s="17"/>
      <c r="N489" s="17">
        <v>0.72826965190052295</v>
      </c>
      <c r="O489" s="17">
        <v>0.66527940240028804</v>
      </c>
      <c r="P489" s="17">
        <v>0.59269783277986599</v>
      </c>
      <c r="Q489" s="17">
        <v>0.62588643551675804</v>
      </c>
      <c r="R489" s="17">
        <v>0.72174829615055403</v>
      </c>
      <c r="S489" s="17">
        <v>0.645363639361477</v>
      </c>
      <c r="T489" s="17">
        <v>0.73675017987037905</v>
      </c>
      <c r="U489" s="17">
        <v>0.66614987114486202</v>
      </c>
      <c r="V489" s="17">
        <v>0.73629477834110302</v>
      </c>
      <c r="W489" s="17"/>
      <c r="X489" s="17">
        <v>0.750646120172061</v>
      </c>
      <c r="Y489" s="17">
        <v>0.62694052595579697</v>
      </c>
    </row>
    <row r="490" spans="2:25" x14ac:dyDescent="0.35">
      <c r="B490" t="s">
        <v>224</v>
      </c>
      <c r="C490" s="17">
        <v>3.6314226953581899E-2</v>
      </c>
      <c r="D490" s="17">
        <v>2.6891503011467002E-2</v>
      </c>
      <c r="E490" s="17">
        <v>4.5330093012147597E-2</v>
      </c>
      <c r="F490" s="17"/>
      <c r="G490" s="17">
        <v>3.9360095339261401E-2</v>
      </c>
      <c r="H490" s="17">
        <v>2.1698345057935001E-2</v>
      </c>
      <c r="I490" s="17">
        <v>2.04662805578898E-2</v>
      </c>
      <c r="J490" s="17">
        <v>4.2159511455928701E-2</v>
      </c>
      <c r="K490" s="17">
        <v>3.35264596654423E-2</v>
      </c>
      <c r="L490" s="17">
        <v>5.1839401246121297E-2</v>
      </c>
      <c r="M490" s="17"/>
      <c r="N490" s="17">
        <v>9.7793637482068499E-3</v>
      </c>
      <c r="O490" s="17">
        <v>1.3856340810481101E-2</v>
      </c>
      <c r="P490" s="17">
        <v>6.03145706818458E-2</v>
      </c>
      <c r="Q490" s="17">
        <v>3.3406797366329399E-2</v>
      </c>
      <c r="R490" s="17">
        <v>3.6825522005884702E-2</v>
      </c>
      <c r="S490" s="17">
        <v>2.5146032368886E-2</v>
      </c>
      <c r="T490" s="17">
        <v>3.7643624648148001E-2</v>
      </c>
      <c r="U490" s="17">
        <v>4.1739265121882703E-2</v>
      </c>
      <c r="V490" s="17">
        <v>1.85151897939527E-2</v>
      </c>
      <c r="W490" s="17"/>
      <c r="X490" s="17">
        <v>2.5452645579489099E-2</v>
      </c>
      <c r="Y490" s="17">
        <v>4.2324662504350498E-2</v>
      </c>
    </row>
    <row r="491" spans="2:25" x14ac:dyDescent="0.35">
      <c r="C491" s="17"/>
      <c r="D491" s="17"/>
      <c r="E491" s="17"/>
      <c r="F491" s="17"/>
      <c r="G491" s="17"/>
      <c r="H491" s="17"/>
      <c r="I491" s="17"/>
      <c r="J491" s="17"/>
      <c r="K491" s="17"/>
      <c r="L491" s="17"/>
      <c r="M491" s="17"/>
      <c r="N491" s="17"/>
      <c r="O491" s="17"/>
      <c r="P491" s="17"/>
      <c r="Q491" s="17"/>
      <c r="R491" s="17"/>
      <c r="S491" s="17"/>
      <c r="T491" s="17"/>
      <c r="U491" s="17"/>
      <c r="V491" s="17"/>
      <c r="W491" s="17"/>
      <c r="X491" s="17"/>
      <c r="Y491" s="17"/>
    </row>
    <row r="492" spans="2:25" x14ac:dyDescent="0.35">
      <c r="B492" s="6" t="s">
        <v>237</v>
      </c>
      <c r="C492" s="17"/>
      <c r="D492" s="17"/>
      <c r="E492" s="17"/>
      <c r="F492" s="17"/>
      <c r="G492" s="17"/>
      <c r="H492" s="17"/>
      <c r="I492" s="17"/>
      <c r="J492" s="17"/>
      <c r="K492" s="17"/>
      <c r="L492" s="17"/>
      <c r="M492" s="17"/>
      <c r="N492" s="17"/>
      <c r="O492" s="17"/>
      <c r="P492" s="17"/>
      <c r="Q492" s="17"/>
      <c r="R492" s="17"/>
      <c r="S492" s="17"/>
      <c r="T492" s="17"/>
      <c r="U492" s="17"/>
      <c r="V492" s="17"/>
      <c r="W492" s="17"/>
      <c r="X492" s="17"/>
      <c r="Y492" s="17"/>
    </row>
    <row r="493" spans="2:25" x14ac:dyDescent="0.35">
      <c r="B493" s="24" t="s">
        <v>50</v>
      </c>
      <c r="C493" s="17"/>
      <c r="D493" s="17"/>
      <c r="E493" s="17"/>
      <c r="F493" s="17"/>
      <c r="G493" s="17"/>
      <c r="H493" s="17"/>
      <c r="I493" s="17"/>
      <c r="J493" s="17"/>
      <c r="K493" s="17"/>
      <c r="L493" s="17"/>
      <c r="M493" s="17"/>
      <c r="N493" s="17"/>
      <c r="O493" s="17"/>
      <c r="P493" s="17"/>
      <c r="Q493" s="17"/>
      <c r="R493" s="17"/>
      <c r="S493" s="17"/>
      <c r="T493" s="17"/>
      <c r="U493" s="17"/>
      <c r="V493" s="17"/>
      <c r="W493" s="17"/>
      <c r="X493" s="17"/>
      <c r="Y493" s="17"/>
    </row>
    <row r="494" spans="2:25" x14ac:dyDescent="0.35">
      <c r="B494" t="s">
        <v>222</v>
      </c>
      <c r="C494" s="17">
        <v>0.58187853345763896</v>
      </c>
      <c r="D494" s="17">
        <v>0.49936893654912201</v>
      </c>
      <c r="E494" s="17">
        <v>0.65981024000693</v>
      </c>
      <c r="F494" s="17"/>
      <c r="G494" s="17">
        <v>0.47659763862025201</v>
      </c>
      <c r="H494" s="17">
        <v>0.50723715030767402</v>
      </c>
      <c r="I494" s="17">
        <v>0.50519643777874801</v>
      </c>
      <c r="J494" s="17">
        <v>0.57425473916532399</v>
      </c>
      <c r="K494" s="17">
        <v>0.63753965137762503</v>
      </c>
      <c r="L494" s="17">
        <v>0.68300547462425898</v>
      </c>
      <c r="M494" s="17"/>
      <c r="N494" s="17">
        <v>0.62750618416838699</v>
      </c>
      <c r="O494" s="17">
        <v>0.45398804076892202</v>
      </c>
      <c r="P494" s="17">
        <v>0.66843634111530303</v>
      </c>
      <c r="Q494" s="17">
        <v>0.57071065148738398</v>
      </c>
      <c r="R494" s="17">
        <v>0.57659846491012201</v>
      </c>
      <c r="S494" s="17">
        <v>0.59937808140869897</v>
      </c>
      <c r="T494" s="17">
        <v>0.52451654361909805</v>
      </c>
      <c r="U494" s="17">
        <v>0.57176608006156004</v>
      </c>
      <c r="V494" s="17">
        <v>0.57227495769849601</v>
      </c>
      <c r="W494" s="17"/>
      <c r="X494" s="17">
        <v>0.51535992424618804</v>
      </c>
      <c r="Y494" s="17">
        <v>0.61868770514471905</v>
      </c>
    </row>
    <row r="495" spans="2:25" x14ac:dyDescent="0.35">
      <c r="B495" t="s">
        <v>223</v>
      </c>
      <c r="C495" s="17">
        <v>0.335090654980576</v>
      </c>
      <c r="D495" s="17">
        <v>0.43772917695666502</v>
      </c>
      <c r="E495" s="17">
        <v>0.238158499792819</v>
      </c>
      <c r="F495" s="17"/>
      <c r="G495" s="17">
        <v>0.45444619928234797</v>
      </c>
      <c r="H495" s="17">
        <v>0.42879858370626101</v>
      </c>
      <c r="I495" s="17">
        <v>0.41666376510376102</v>
      </c>
      <c r="J495" s="17">
        <v>0.34416590008583597</v>
      </c>
      <c r="K495" s="17">
        <v>0.27520917759608199</v>
      </c>
      <c r="L495" s="17">
        <v>0.21608749066855901</v>
      </c>
      <c r="M495" s="17"/>
      <c r="N495" s="17">
        <v>0.34249278462285099</v>
      </c>
      <c r="O495" s="17">
        <v>0.479869705478709</v>
      </c>
      <c r="P495" s="17">
        <v>0.20486340799396699</v>
      </c>
      <c r="Q495" s="17">
        <v>0.36343488276379399</v>
      </c>
      <c r="R495" s="17">
        <v>0.311740633179376</v>
      </c>
      <c r="S495" s="17">
        <v>0.33714814530903697</v>
      </c>
      <c r="T495" s="17">
        <v>0.40079737840380097</v>
      </c>
      <c r="U495" s="17">
        <v>0.34298305213089397</v>
      </c>
      <c r="V495" s="17">
        <v>0.38193756746449098</v>
      </c>
      <c r="W495" s="17"/>
      <c r="X495" s="17">
        <v>0.43067595662207803</v>
      </c>
      <c r="Y495" s="17">
        <v>0.28219694868405698</v>
      </c>
    </row>
    <row r="496" spans="2:25" x14ac:dyDescent="0.35">
      <c r="B496" t="s">
        <v>224</v>
      </c>
      <c r="C496" s="17">
        <v>8.3030811561784795E-2</v>
      </c>
      <c r="D496" s="17">
        <v>6.2901886494213605E-2</v>
      </c>
      <c r="E496" s="17">
        <v>0.10203126020025099</v>
      </c>
      <c r="F496" s="17"/>
      <c r="G496" s="17">
        <v>6.8956162097400103E-2</v>
      </c>
      <c r="H496" s="17">
        <v>6.3964265986065694E-2</v>
      </c>
      <c r="I496" s="17">
        <v>7.8139797117491097E-2</v>
      </c>
      <c r="J496" s="17">
        <v>8.1579360748840701E-2</v>
      </c>
      <c r="K496" s="17">
        <v>8.7251171026292401E-2</v>
      </c>
      <c r="L496" s="17">
        <v>0.100907034707182</v>
      </c>
      <c r="M496" s="17"/>
      <c r="N496" s="17">
        <v>3.00010312087629E-2</v>
      </c>
      <c r="O496" s="17">
        <v>6.6142253752368901E-2</v>
      </c>
      <c r="P496" s="17">
        <v>0.12670025089073</v>
      </c>
      <c r="Q496" s="17">
        <v>6.5854465748822505E-2</v>
      </c>
      <c r="R496" s="17">
        <v>0.111660901910502</v>
      </c>
      <c r="S496" s="17">
        <v>6.3473773282264098E-2</v>
      </c>
      <c r="T496" s="17">
        <v>7.4686077977100696E-2</v>
      </c>
      <c r="U496" s="17">
        <v>8.5250867807546205E-2</v>
      </c>
      <c r="V496" s="17">
        <v>4.5787474837013398E-2</v>
      </c>
      <c r="W496" s="17"/>
      <c r="X496" s="17">
        <v>5.3964119131734101E-2</v>
      </c>
      <c r="Y496" s="17">
        <v>9.9115346171223598E-2</v>
      </c>
    </row>
    <row r="497" spans="2:25" x14ac:dyDescent="0.35">
      <c r="C497" s="17"/>
      <c r="D497" s="17"/>
      <c r="E497" s="17"/>
      <c r="F497" s="17"/>
      <c r="G497" s="17"/>
      <c r="H497" s="17"/>
      <c r="I497" s="17"/>
      <c r="J497" s="17"/>
      <c r="K497" s="17"/>
      <c r="L497" s="17"/>
      <c r="M497" s="17"/>
      <c r="N497" s="17"/>
      <c r="O497" s="17"/>
      <c r="P497" s="17"/>
      <c r="Q497" s="17"/>
      <c r="R497" s="17"/>
      <c r="S497" s="17"/>
      <c r="T497" s="17"/>
      <c r="U497" s="17"/>
      <c r="V497" s="17"/>
      <c r="W497" s="17"/>
      <c r="X497" s="17"/>
      <c r="Y497" s="17"/>
    </row>
    <row r="498" spans="2:25" x14ac:dyDescent="0.35">
      <c r="B498" s="6" t="s">
        <v>238</v>
      </c>
      <c r="C498" s="17"/>
      <c r="D498" s="17"/>
      <c r="E498" s="17"/>
      <c r="F498" s="17"/>
      <c r="G498" s="17"/>
      <c r="H498" s="17"/>
      <c r="I498" s="17"/>
      <c r="J498" s="17"/>
      <c r="K498" s="17"/>
      <c r="L498" s="17"/>
      <c r="M498" s="17"/>
      <c r="N498" s="17"/>
      <c r="O498" s="17"/>
      <c r="P498" s="17"/>
      <c r="Q498" s="17"/>
      <c r="R498" s="17"/>
      <c r="S498" s="17"/>
      <c r="T498" s="17"/>
      <c r="U498" s="17"/>
      <c r="V498" s="17"/>
      <c r="W498" s="17"/>
      <c r="X498" s="17"/>
      <c r="Y498" s="17"/>
    </row>
    <row r="499" spans="2:25" x14ac:dyDescent="0.35">
      <c r="B499" s="24" t="s">
        <v>50</v>
      </c>
      <c r="C499" s="17"/>
      <c r="D499" s="17"/>
      <c r="E499" s="17"/>
      <c r="F499" s="17"/>
      <c r="G499" s="17"/>
      <c r="H499" s="17"/>
      <c r="I499" s="17"/>
      <c r="J499" s="17"/>
      <c r="K499" s="17"/>
      <c r="L499" s="17"/>
      <c r="M499" s="17"/>
      <c r="N499" s="17"/>
      <c r="O499" s="17"/>
      <c r="P499" s="17"/>
      <c r="Q499" s="17"/>
      <c r="R499" s="17"/>
      <c r="S499" s="17"/>
      <c r="T499" s="17"/>
      <c r="U499" s="17"/>
      <c r="V499" s="17"/>
      <c r="W499" s="17"/>
      <c r="X499" s="17"/>
      <c r="Y499" s="17"/>
    </row>
    <row r="500" spans="2:25" x14ac:dyDescent="0.35">
      <c r="B500" t="s">
        <v>222</v>
      </c>
      <c r="C500" s="17">
        <v>0.114077712871422</v>
      </c>
      <c r="D500" s="17">
        <v>0.11549555848472701</v>
      </c>
      <c r="E500" s="17">
        <v>0.112684660158326</v>
      </c>
      <c r="F500" s="17"/>
      <c r="G500" s="17">
        <v>9.06038192824688E-2</v>
      </c>
      <c r="H500" s="17">
        <v>7.1047382029552297E-2</v>
      </c>
      <c r="I500" s="17">
        <v>6.8652280392146894E-2</v>
      </c>
      <c r="J500" s="17">
        <v>8.52028883843131E-2</v>
      </c>
      <c r="K500" s="17">
        <v>0.13100993484711199</v>
      </c>
      <c r="L500" s="17">
        <v>0.18601148677917201</v>
      </c>
      <c r="M500" s="17"/>
      <c r="N500" s="17">
        <v>0.14204953044426799</v>
      </c>
      <c r="O500" s="17">
        <v>0.16595401571007101</v>
      </c>
      <c r="P500" s="17">
        <v>0.141536662934796</v>
      </c>
      <c r="Q500" s="17">
        <v>0.102183519282081</v>
      </c>
      <c r="R500" s="17">
        <v>8.3219192529005601E-2</v>
      </c>
      <c r="S500" s="17">
        <v>0.10494772439451</v>
      </c>
      <c r="T500" s="17">
        <v>9.5804865796881494E-2</v>
      </c>
      <c r="U500" s="17">
        <v>0.13808305336174101</v>
      </c>
      <c r="V500" s="17">
        <v>0.120405505754774</v>
      </c>
      <c r="W500" s="17"/>
      <c r="X500" s="17">
        <v>8.8534688934123695E-2</v>
      </c>
      <c r="Y500" s="17">
        <v>0.128212367288601</v>
      </c>
    </row>
    <row r="501" spans="2:25" x14ac:dyDescent="0.35">
      <c r="B501" t="s">
        <v>223</v>
      </c>
      <c r="C501" s="17">
        <v>0.87180125580548795</v>
      </c>
      <c r="D501" s="17">
        <v>0.87132861721247401</v>
      </c>
      <c r="E501" s="17">
        <v>0.872247986020941</v>
      </c>
      <c r="F501" s="17"/>
      <c r="G501" s="17">
        <v>0.88002941682165503</v>
      </c>
      <c r="H501" s="17">
        <v>0.92017376567369003</v>
      </c>
      <c r="I501" s="17">
        <v>0.91474298118017405</v>
      </c>
      <c r="J501" s="17">
        <v>0.90244131378840498</v>
      </c>
      <c r="K501" s="17">
        <v>0.85868723317401696</v>
      </c>
      <c r="L501" s="17">
        <v>0.80025233880957503</v>
      </c>
      <c r="M501" s="17"/>
      <c r="N501" s="17">
        <v>0.85795046955573095</v>
      </c>
      <c r="O501" s="17">
        <v>0.82579069426382601</v>
      </c>
      <c r="P501" s="17">
        <v>0.83575794253934099</v>
      </c>
      <c r="Q501" s="17">
        <v>0.87463884583846796</v>
      </c>
      <c r="R501" s="17">
        <v>0.91237113311233597</v>
      </c>
      <c r="S501" s="17">
        <v>0.88187297113399898</v>
      </c>
      <c r="T501" s="17">
        <v>0.89670044875560395</v>
      </c>
      <c r="U501" s="17">
        <v>0.84634892723358801</v>
      </c>
      <c r="V501" s="17">
        <v>0.859649379349951</v>
      </c>
      <c r="W501" s="17"/>
      <c r="X501" s="17">
        <v>0.89908628379150501</v>
      </c>
      <c r="Y501" s="17">
        <v>0.85670263465976404</v>
      </c>
    </row>
    <row r="502" spans="2:25" x14ac:dyDescent="0.35">
      <c r="B502" t="s">
        <v>224</v>
      </c>
      <c r="C502" s="17">
        <v>1.4121031323090101E-2</v>
      </c>
      <c r="D502" s="17">
        <v>1.3175824302799099E-2</v>
      </c>
      <c r="E502" s="17">
        <v>1.5067353820733599E-2</v>
      </c>
      <c r="F502" s="17"/>
      <c r="G502" s="17">
        <v>2.9366763895875898E-2</v>
      </c>
      <c r="H502" s="17">
        <v>8.7788522967580506E-3</v>
      </c>
      <c r="I502" s="17">
        <v>1.6604738427679198E-2</v>
      </c>
      <c r="J502" s="17">
        <v>1.2355797827282199E-2</v>
      </c>
      <c r="K502" s="17">
        <v>1.03028319788707E-2</v>
      </c>
      <c r="L502" s="17">
        <v>1.37361744112529E-2</v>
      </c>
      <c r="M502" s="17"/>
      <c r="N502" s="17">
        <v>0</v>
      </c>
      <c r="O502" s="17">
        <v>8.2552900261028406E-3</v>
      </c>
      <c r="P502" s="17">
        <v>2.2705394525862701E-2</v>
      </c>
      <c r="Q502" s="17">
        <v>2.3177634879451701E-2</v>
      </c>
      <c r="R502" s="17">
        <v>4.4096743586587101E-3</v>
      </c>
      <c r="S502" s="17">
        <v>1.31793044714918E-2</v>
      </c>
      <c r="T502" s="17">
        <v>7.4946854475140996E-3</v>
      </c>
      <c r="U502" s="17">
        <v>1.5568019404671399E-2</v>
      </c>
      <c r="V502" s="17">
        <v>1.9945114895274601E-2</v>
      </c>
      <c r="W502" s="17"/>
      <c r="X502" s="17">
        <v>1.23790272743711E-2</v>
      </c>
      <c r="Y502" s="17">
        <v>1.5084998051634499E-2</v>
      </c>
    </row>
    <row r="503" spans="2:25" x14ac:dyDescent="0.35">
      <c r="C503" s="17"/>
      <c r="D503" s="17"/>
      <c r="E503" s="17"/>
      <c r="F503" s="17"/>
      <c r="G503" s="17"/>
      <c r="H503" s="17"/>
      <c r="I503" s="17"/>
      <c r="J503" s="17"/>
      <c r="K503" s="17"/>
      <c r="L503" s="17"/>
      <c r="M503" s="17"/>
      <c r="N503" s="17"/>
      <c r="O503" s="17"/>
      <c r="P503" s="17"/>
      <c r="Q503" s="17"/>
      <c r="R503" s="17"/>
      <c r="S503" s="17"/>
      <c r="T503" s="17"/>
      <c r="U503" s="17"/>
      <c r="V503" s="17"/>
      <c r="W503" s="17"/>
      <c r="X503" s="17"/>
      <c r="Y503" s="17"/>
    </row>
    <row r="504" spans="2:25" x14ac:dyDescent="0.35">
      <c r="B504" s="6" t="s">
        <v>239</v>
      </c>
      <c r="C504" s="17"/>
      <c r="D504" s="17"/>
      <c r="E504" s="17"/>
      <c r="F504" s="17"/>
      <c r="G504" s="17"/>
      <c r="H504" s="17"/>
      <c r="I504" s="17"/>
      <c r="J504" s="17"/>
      <c r="K504" s="17"/>
      <c r="L504" s="17"/>
      <c r="M504" s="17"/>
      <c r="N504" s="17"/>
      <c r="O504" s="17"/>
      <c r="P504" s="17"/>
      <c r="Q504" s="17"/>
      <c r="R504" s="17"/>
      <c r="S504" s="17"/>
      <c r="T504" s="17"/>
      <c r="U504" s="17"/>
      <c r="V504" s="17"/>
      <c r="W504" s="17"/>
      <c r="X504" s="17"/>
      <c r="Y504" s="17"/>
    </row>
    <row r="505" spans="2:25" x14ac:dyDescent="0.35">
      <c r="B505" s="24" t="s">
        <v>50</v>
      </c>
      <c r="C505" s="17"/>
      <c r="D505" s="17"/>
      <c r="E505" s="17"/>
      <c r="F505" s="17"/>
      <c r="G505" s="17"/>
      <c r="H505" s="17"/>
      <c r="I505" s="17"/>
      <c r="J505" s="17"/>
      <c r="K505" s="17"/>
      <c r="L505" s="17"/>
      <c r="M505" s="17"/>
      <c r="N505" s="17"/>
      <c r="O505" s="17"/>
      <c r="P505" s="17"/>
      <c r="Q505" s="17"/>
      <c r="R505" s="17"/>
      <c r="S505" s="17"/>
      <c r="T505" s="17"/>
      <c r="U505" s="17"/>
      <c r="V505" s="17"/>
      <c r="W505" s="17"/>
      <c r="X505" s="17"/>
      <c r="Y505" s="17"/>
    </row>
    <row r="506" spans="2:25" x14ac:dyDescent="0.35">
      <c r="B506" t="s">
        <v>222</v>
      </c>
      <c r="C506" s="17">
        <v>0.54288301571494901</v>
      </c>
      <c r="D506" s="17">
        <v>0.55980413664142104</v>
      </c>
      <c r="E506" s="17">
        <v>0.52661552281757995</v>
      </c>
      <c r="F506" s="17"/>
      <c r="G506" s="17">
        <v>0.41028587130542898</v>
      </c>
      <c r="H506" s="17">
        <v>0.41062135395338401</v>
      </c>
      <c r="I506" s="17">
        <v>0.44774456610932001</v>
      </c>
      <c r="J506" s="17">
        <v>0.54307039837405402</v>
      </c>
      <c r="K506" s="17">
        <v>0.62725817261060401</v>
      </c>
      <c r="L506" s="17">
        <v>0.67588693101936903</v>
      </c>
      <c r="M506" s="17"/>
      <c r="N506" s="17">
        <v>0.57895467095942599</v>
      </c>
      <c r="O506" s="17">
        <v>0.54014553330919002</v>
      </c>
      <c r="P506" s="17">
        <v>0.49898496286247102</v>
      </c>
      <c r="Q506" s="17">
        <v>0.49891511083603102</v>
      </c>
      <c r="R506" s="17">
        <v>0.56218111921618596</v>
      </c>
      <c r="S506" s="17">
        <v>0.528583508470435</v>
      </c>
      <c r="T506" s="17">
        <v>0.48936033383479899</v>
      </c>
      <c r="U506" s="17">
        <v>0.64755760268942597</v>
      </c>
      <c r="V506" s="17">
        <v>0.603240702846493</v>
      </c>
      <c r="W506" s="17"/>
      <c r="X506" s="17">
        <v>0.50707532055736304</v>
      </c>
      <c r="Y506" s="17">
        <v>0.56269779558481103</v>
      </c>
    </row>
    <row r="507" spans="2:25" x14ac:dyDescent="0.35">
      <c r="B507" t="s">
        <v>223</v>
      </c>
      <c r="C507" s="17">
        <v>0.42172807645485</v>
      </c>
      <c r="D507" s="17">
        <v>0.40949517384080097</v>
      </c>
      <c r="E507" s="17">
        <v>0.433440472289228</v>
      </c>
      <c r="F507" s="17"/>
      <c r="G507" s="17">
        <v>0.57024032091194299</v>
      </c>
      <c r="H507" s="17">
        <v>0.55219383444710202</v>
      </c>
      <c r="I507" s="17">
        <v>0.52452088119860096</v>
      </c>
      <c r="J507" s="17">
        <v>0.42171741555421999</v>
      </c>
      <c r="K507" s="17">
        <v>0.34152604262798397</v>
      </c>
      <c r="L507" s="17">
        <v>0.276087056715972</v>
      </c>
      <c r="M507" s="17"/>
      <c r="N507" s="17">
        <v>0.41722169211688998</v>
      </c>
      <c r="O507" s="17">
        <v>0.410370994145974</v>
      </c>
      <c r="P507" s="17">
        <v>0.45764842823582103</v>
      </c>
      <c r="Q507" s="17">
        <v>0.47218116114784903</v>
      </c>
      <c r="R507" s="17">
        <v>0.38394413949821199</v>
      </c>
      <c r="S507" s="17">
        <v>0.45190976110856501</v>
      </c>
      <c r="T507" s="17">
        <v>0.47677407093629398</v>
      </c>
      <c r="U507" s="17">
        <v>0.308835690357528</v>
      </c>
      <c r="V507" s="17">
        <v>0.37886913206234502</v>
      </c>
      <c r="W507" s="17"/>
      <c r="X507" s="17">
        <v>0.46871803055780398</v>
      </c>
      <c r="Y507" s="17">
        <v>0.39572540880066898</v>
      </c>
    </row>
    <row r="508" spans="2:25" x14ac:dyDescent="0.35">
      <c r="B508" t="s">
        <v>224</v>
      </c>
      <c r="C508" s="17">
        <v>3.5388907830200801E-2</v>
      </c>
      <c r="D508" s="17">
        <v>3.0700689517778199E-2</v>
      </c>
      <c r="E508" s="17">
        <v>3.9944004893191498E-2</v>
      </c>
      <c r="F508" s="17"/>
      <c r="G508" s="17">
        <v>1.9473807782628E-2</v>
      </c>
      <c r="H508" s="17">
        <v>3.71848115995135E-2</v>
      </c>
      <c r="I508" s="17">
        <v>2.77345526920788E-2</v>
      </c>
      <c r="J508" s="17">
        <v>3.52121860717255E-2</v>
      </c>
      <c r="K508" s="17">
        <v>3.1215784761412301E-2</v>
      </c>
      <c r="L508" s="17">
        <v>4.8026012264659197E-2</v>
      </c>
      <c r="M508" s="17"/>
      <c r="N508" s="17">
        <v>3.8236369236838799E-3</v>
      </c>
      <c r="O508" s="17">
        <v>4.9483472544836503E-2</v>
      </c>
      <c r="P508" s="17">
        <v>4.33666089017073E-2</v>
      </c>
      <c r="Q508" s="17">
        <v>2.89037280161204E-2</v>
      </c>
      <c r="R508" s="17">
        <v>5.3874741285602101E-2</v>
      </c>
      <c r="S508" s="17">
        <v>1.9506730420999801E-2</v>
      </c>
      <c r="T508" s="17">
        <v>3.3865595228907003E-2</v>
      </c>
      <c r="U508" s="17">
        <v>4.3606706953045901E-2</v>
      </c>
      <c r="V508" s="17">
        <v>1.7890165091162601E-2</v>
      </c>
      <c r="W508" s="17"/>
      <c r="X508" s="17">
        <v>2.4206648884832802E-2</v>
      </c>
      <c r="Y508" s="17">
        <v>4.1576795614520198E-2</v>
      </c>
    </row>
    <row r="509" spans="2:25" x14ac:dyDescent="0.35">
      <c r="C509" s="17"/>
      <c r="D509" s="17"/>
      <c r="E509" s="17"/>
      <c r="F509" s="17"/>
      <c r="G509" s="17"/>
      <c r="H509" s="17"/>
      <c r="I509" s="17"/>
      <c r="J509" s="17"/>
      <c r="K509" s="17"/>
      <c r="L509" s="17"/>
      <c r="M509" s="17"/>
      <c r="N509" s="17"/>
      <c r="O509" s="17"/>
      <c r="P509" s="17"/>
      <c r="Q509" s="17"/>
      <c r="R509" s="17"/>
      <c r="S509" s="17"/>
      <c r="T509" s="17"/>
      <c r="U509" s="17"/>
      <c r="V509" s="17"/>
      <c r="W509" s="17"/>
      <c r="X509" s="17"/>
      <c r="Y509" s="17"/>
    </row>
    <row r="510" spans="2:25" x14ac:dyDescent="0.35">
      <c r="B510" s="6" t="s">
        <v>240</v>
      </c>
      <c r="C510" s="17"/>
      <c r="D510" s="17"/>
      <c r="E510" s="17"/>
      <c r="F510" s="17"/>
      <c r="G510" s="17"/>
      <c r="H510" s="17"/>
      <c r="I510" s="17"/>
      <c r="J510" s="17"/>
      <c r="K510" s="17"/>
      <c r="L510" s="17"/>
      <c r="M510" s="17"/>
      <c r="N510" s="17"/>
      <c r="O510" s="17"/>
      <c r="P510" s="17"/>
      <c r="Q510" s="17"/>
      <c r="R510" s="17"/>
      <c r="S510" s="17"/>
      <c r="T510" s="17"/>
      <c r="U510" s="17"/>
      <c r="V510" s="17"/>
      <c r="W510" s="17"/>
      <c r="X510" s="17"/>
      <c r="Y510" s="17"/>
    </row>
    <row r="511" spans="2:25" x14ac:dyDescent="0.35">
      <c r="B511" s="24" t="s">
        <v>50</v>
      </c>
      <c r="C511" s="17"/>
      <c r="D511" s="17"/>
      <c r="E511" s="17"/>
      <c r="F511" s="17"/>
      <c r="G511" s="17"/>
      <c r="H511" s="17"/>
      <c r="I511" s="17"/>
      <c r="J511" s="17"/>
      <c r="K511" s="17"/>
      <c r="L511" s="17"/>
      <c r="M511" s="17"/>
      <c r="N511" s="17"/>
      <c r="O511" s="17"/>
      <c r="P511" s="17"/>
      <c r="Q511" s="17"/>
      <c r="R511" s="17"/>
      <c r="S511" s="17"/>
      <c r="T511" s="17"/>
      <c r="U511" s="17"/>
      <c r="V511" s="17"/>
      <c r="W511" s="17"/>
      <c r="X511" s="17"/>
      <c r="Y511" s="17"/>
    </row>
    <row r="512" spans="2:25" x14ac:dyDescent="0.35">
      <c r="B512" t="s">
        <v>222</v>
      </c>
      <c r="C512" s="17">
        <v>0.54940570376322295</v>
      </c>
      <c r="D512" s="17">
        <v>0.53190213428667299</v>
      </c>
      <c r="E512" s="17">
        <v>0.56630474653544005</v>
      </c>
      <c r="F512" s="17"/>
      <c r="G512" s="17">
        <v>0.34482543927800402</v>
      </c>
      <c r="H512" s="17">
        <v>0.40293366612357201</v>
      </c>
      <c r="I512" s="17">
        <v>0.46610078001196398</v>
      </c>
      <c r="J512" s="17">
        <v>0.54666802088586097</v>
      </c>
      <c r="K512" s="17">
        <v>0.65003083597202704</v>
      </c>
      <c r="L512" s="17">
        <v>0.70132237567875899</v>
      </c>
      <c r="M512" s="17"/>
      <c r="N512" s="17">
        <v>0.70911475561188597</v>
      </c>
      <c r="O512" s="17">
        <v>0.56886632716572905</v>
      </c>
      <c r="P512" s="17">
        <v>0.61325315460872998</v>
      </c>
      <c r="Q512" s="17">
        <v>0.64190934237071695</v>
      </c>
      <c r="R512" s="17">
        <v>0.48584955869672802</v>
      </c>
      <c r="S512" s="17">
        <v>0.63654696629651097</v>
      </c>
      <c r="T512" s="17">
        <v>0.38256732425019702</v>
      </c>
      <c r="U512" s="17">
        <v>0.463750735372154</v>
      </c>
      <c r="V512" s="17">
        <v>0.63989911284585799</v>
      </c>
      <c r="W512" s="17"/>
      <c r="X512" s="17">
        <v>0.45250606214358802</v>
      </c>
      <c r="Y512" s="17">
        <v>0.603026721807294</v>
      </c>
    </row>
    <row r="513" spans="2:25" x14ac:dyDescent="0.35">
      <c r="B513" t="s">
        <v>223</v>
      </c>
      <c r="C513" s="17">
        <v>0.38321262440848303</v>
      </c>
      <c r="D513" s="17">
        <v>0.41000770212453302</v>
      </c>
      <c r="E513" s="17">
        <v>0.35729692850926698</v>
      </c>
      <c r="F513" s="17"/>
      <c r="G513" s="17">
        <v>0.59575854032456599</v>
      </c>
      <c r="H513" s="17">
        <v>0.54717687627714295</v>
      </c>
      <c r="I513" s="17">
        <v>0.47728538488934202</v>
      </c>
      <c r="J513" s="17">
        <v>0.37863515803306602</v>
      </c>
      <c r="K513" s="17">
        <v>0.282441899657151</v>
      </c>
      <c r="L513" s="17">
        <v>0.21616400647475101</v>
      </c>
      <c r="M513" s="17"/>
      <c r="N513" s="17">
        <v>0.24471209659117099</v>
      </c>
      <c r="O513" s="17">
        <v>0.37382044390044999</v>
      </c>
      <c r="P513" s="17">
        <v>0.28974069229323202</v>
      </c>
      <c r="Q513" s="17">
        <v>0.31313445930970502</v>
      </c>
      <c r="R513" s="17">
        <v>0.425040485365617</v>
      </c>
      <c r="S513" s="17">
        <v>0.303466540888506</v>
      </c>
      <c r="T513" s="17">
        <v>0.53980104328464495</v>
      </c>
      <c r="U513" s="17">
        <v>0.47962846806648501</v>
      </c>
      <c r="V513" s="17">
        <v>0.32897625560101001</v>
      </c>
      <c r="W513" s="17"/>
      <c r="X513" s="17">
        <v>0.50854918284900497</v>
      </c>
      <c r="Y513" s="17">
        <v>0.31385556849591201</v>
      </c>
    </row>
    <row r="514" spans="2:25" x14ac:dyDescent="0.35">
      <c r="B514" t="s">
        <v>224</v>
      </c>
      <c r="C514" s="17">
        <v>6.7381671828294507E-2</v>
      </c>
      <c r="D514" s="17">
        <v>5.8090163588794499E-2</v>
      </c>
      <c r="E514" s="17">
        <v>7.6398324955292696E-2</v>
      </c>
      <c r="F514" s="17"/>
      <c r="G514" s="17">
        <v>5.9416020397430103E-2</v>
      </c>
      <c r="H514" s="17">
        <v>4.9889457599284301E-2</v>
      </c>
      <c r="I514" s="17">
        <v>5.6613835098694602E-2</v>
      </c>
      <c r="J514" s="17">
        <v>7.46968210810737E-2</v>
      </c>
      <c r="K514" s="17">
        <v>6.7527264370821904E-2</v>
      </c>
      <c r="L514" s="17">
        <v>8.2513617846489307E-2</v>
      </c>
      <c r="M514" s="17"/>
      <c r="N514" s="17">
        <v>4.6173147796943301E-2</v>
      </c>
      <c r="O514" s="17">
        <v>5.7313228933821798E-2</v>
      </c>
      <c r="P514" s="17">
        <v>9.7006153098038603E-2</v>
      </c>
      <c r="Q514" s="17">
        <v>4.4956198319577298E-2</v>
      </c>
      <c r="R514" s="17">
        <v>8.9109955937655402E-2</v>
      </c>
      <c r="S514" s="17">
        <v>5.9986492814983798E-2</v>
      </c>
      <c r="T514" s="17">
        <v>7.7631632465157696E-2</v>
      </c>
      <c r="U514" s="17">
        <v>5.6620796561361E-2</v>
      </c>
      <c r="V514" s="17">
        <v>3.11246315531317E-2</v>
      </c>
      <c r="W514" s="17"/>
      <c r="X514" s="17">
        <v>3.89447550074071E-2</v>
      </c>
      <c r="Y514" s="17">
        <v>8.3117709696793496E-2</v>
      </c>
    </row>
    <row r="515" spans="2:25" x14ac:dyDescent="0.35">
      <c r="C515" s="17"/>
      <c r="D515" s="17"/>
      <c r="E515" s="17"/>
      <c r="F515" s="17"/>
      <c r="G515" s="17"/>
      <c r="H515" s="17"/>
      <c r="I515" s="17"/>
      <c r="J515" s="17"/>
      <c r="K515" s="17"/>
      <c r="L515" s="17"/>
      <c r="M515" s="17"/>
      <c r="N515" s="17"/>
      <c r="O515" s="17"/>
      <c r="P515" s="17"/>
      <c r="Q515" s="17"/>
      <c r="R515" s="17"/>
      <c r="S515" s="17"/>
      <c r="T515" s="17"/>
      <c r="U515" s="17"/>
      <c r="V515" s="17"/>
      <c r="W515" s="17"/>
      <c r="X515" s="17"/>
      <c r="Y515" s="17"/>
    </row>
    <row r="516" spans="2:25" x14ac:dyDescent="0.35">
      <c r="B516" s="6" t="s">
        <v>241</v>
      </c>
      <c r="C516" s="17"/>
      <c r="D516" s="17"/>
      <c r="E516" s="17"/>
      <c r="F516" s="17"/>
      <c r="G516" s="17"/>
      <c r="H516" s="17"/>
      <c r="I516" s="17"/>
      <c r="J516" s="17"/>
      <c r="K516" s="17"/>
      <c r="L516" s="17"/>
      <c r="M516" s="17"/>
      <c r="N516" s="17"/>
      <c r="O516" s="17"/>
      <c r="P516" s="17"/>
      <c r="Q516" s="17"/>
      <c r="R516" s="17"/>
      <c r="S516" s="17"/>
      <c r="T516" s="17"/>
      <c r="U516" s="17"/>
      <c r="V516" s="17"/>
      <c r="W516" s="17"/>
      <c r="X516" s="17"/>
      <c r="Y516" s="17"/>
    </row>
    <row r="517" spans="2:25" x14ac:dyDescent="0.35">
      <c r="B517" s="24" t="s">
        <v>50</v>
      </c>
      <c r="C517" s="17"/>
      <c r="D517" s="17"/>
      <c r="E517" s="17"/>
      <c r="F517" s="17"/>
      <c r="G517" s="17"/>
      <c r="H517" s="17"/>
      <c r="I517" s="17"/>
      <c r="J517" s="17"/>
      <c r="K517" s="17"/>
      <c r="L517" s="17"/>
      <c r="M517" s="17"/>
      <c r="N517" s="17"/>
      <c r="O517" s="17"/>
      <c r="P517" s="17"/>
      <c r="Q517" s="17"/>
      <c r="R517" s="17"/>
      <c r="S517" s="17"/>
      <c r="T517" s="17"/>
      <c r="U517" s="17"/>
      <c r="V517" s="17"/>
      <c r="W517" s="17"/>
      <c r="X517" s="17"/>
      <c r="Y517" s="17"/>
    </row>
    <row r="518" spans="2:25" x14ac:dyDescent="0.35">
      <c r="B518" t="s">
        <v>222</v>
      </c>
      <c r="C518" s="17">
        <v>0.13271994483079999</v>
      </c>
      <c r="D518" s="17">
        <v>0.11540385299205</v>
      </c>
      <c r="E518" s="17">
        <v>0.14895598609747299</v>
      </c>
      <c r="F518" s="17"/>
      <c r="G518" s="17">
        <v>0.167050558256152</v>
      </c>
      <c r="H518" s="17">
        <v>0.10355819954444</v>
      </c>
      <c r="I518" s="17">
        <v>0.108135271719493</v>
      </c>
      <c r="J518" s="17">
        <v>0.10453901792086601</v>
      </c>
      <c r="K518" s="17">
        <v>0.14258928079762401</v>
      </c>
      <c r="L518" s="17">
        <v>0.16573835875687201</v>
      </c>
      <c r="M518" s="17"/>
      <c r="N518" s="17">
        <v>8.0814443358974905E-2</v>
      </c>
      <c r="O518" s="17">
        <v>2.1182667380292199E-2</v>
      </c>
      <c r="P518" s="17">
        <v>0.14347915525486801</v>
      </c>
      <c r="Q518" s="17">
        <v>0.19585046169175799</v>
      </c>
      <c r="R518" s="17">
        <v>0.196084851859058</v>
      </c>
      <c r="S518" s="17">
        <v>7.28086864933844E-2</v>
      </c>
      <c r="T518" s="17">
        <v>7.6445195241332697E-2</v>
      </c>
      <c r="U518" s="17">
        <v>0.168376150333443</v>
      </c>
      <c r="V518" s="17">
        <v>7.4822444750012193E-2</v>
      </c>
      <c r="W518" s="17"/>
      <c r="X518" s="17">
        <v>9.5775369392177206E-2</v>
      </c>
      <c r="Y518" s="17">
        <v>0.15316383619214399</v>
      </c>
    </row>
    <row r="519" spans="2:25" x14ac:dyDescent="0.35">
      <c r="B519" t="s">
        <v>223</v>
      </c>
      <c r="C519" s="17">
        <v>0.84434927354043399</v>
      </c>
      <c r="D519" s="17">
        <v>0.86448493487328604</v>
      </c>
      <c r="E519" s="17">
        <v>0.82536713239942805</v>
      </c>
      <c r="F519" s="17"/>
      <c r="G519" s="17">
        <v>0.79439239393607097</v>
      </c>
      <c r="H519" s="17">
        <v>0.87377405576123601</v>
      </c>
      <c r="I519" s="17">
        <v>0.870171671580383</v>
      </c>
      <c r="J519" s="17">
        <v>0.86803755608585498</v>
      </c>
      <c r="K519" s="17">
        <v>0.84344704309928997</v>
      </c>
      <c r="L519" s="17">
        <v>0.813364188559899</v>
      </c>
      <c r="M519" s="17"/>
      <c r="N519" s="17">
        <v>0.91918555664102497</v>
      </c>
      <c r="O519" s="17">
        <v>0.97056204259360501</v>
      </c>
      <c r="P519" s="17">
        <v>0.83054279131657704</v>
      </c>
      <c r="Q519" s="17">
        <v>0.78338422175493505</v>
      </c>
      <c r="R519" s="17">
        <v>0.75615428951841501</v>
      </c>
      <c r="S519" s="17">
        <v>0.914438012132336</v>
      </c>
      <c r="T519" s="17">
        <v>0.91096258026483601</v>
      </c>
      <c r="U519" s="17">
        <v>0.80211569540001004</v>
      </c>
      <c r="V519" s="17">
        <v>0.91236252251711603</v>
      </c>
      <c r="W519" s="17"/>
      <c r="X519" s="17">
        <v>0.89109240101641296</v>
      </c>
      <c r="Y519" s="17">
        <v>0.81848319147932103</v>
      </c>
    </row>
    <row r="520" spans="2:25" x14ac:dyDescent="0.35">
      <c r="B520" t="s">
        <v>224</v>
      </c>
      <c r="C520" s="17">
        <v>2.29307816287662E-2</v>
      </c>
      <c r="D520" s="17">
        <v>2.01112121346642E-2</v>
      </c>
      <c r="E520" s="17">
        <v>2.56768815030993E-2</v>
      </c>
      <c r="F520" s="17"/>
      <c r="G520" s="17">
        <v>3.85570478077778E-2</v>
      </c>
      <c r="H520" s="17">
        <v>2.26677446943238E-2</v>
      </c>
      <c r="I520" s="17">
        <v>2.1693056700124499E-2</v>
      </c>
      <c r="J520" s="17">
        <v>2.7423425993278999E-2</v>
      </c>
      <c r="K520" s="17">
        <v>1.3963676103085401E-2</v>
      </c>
      <c r="L520" s="17">
        <v>2.08974526832288E-2</v>
      </c>
      <c r="M520" s="17"/>
      <c r="N520" s="17">
        <v>0</v>
      </c>
      <c r="O520" s="17">
        <v>8.2552900261028406E-3</v>
      </c>
      <c r="P520" s="17">
        <v>2.5978053428555001E-2</v>
      </c>
      <c r="Q520" s="17">
        <v>2.0765316553307E-2</v>
      </c>
      <c r="R520" s="17">
        <v>4.7760858622526998E-2</v>
      </c>
      <c r="S520" s="17">
        <v>1.27533013742798E-2</v>
      </c>
      <c r="T520" s="17">
        <v>1.25922244938317E-2</v>
      </c>
      <c r="U520" s="17">
        <v>2.9508154266547501E-2</v>
      </c>
      <c r="V520" s="17">
        <v>1.28150327328718E-2</v>
      </c>
      <c r="W520" s="17"/>
      <c r="X520" s="17">
        <v>1.3132229591409901E-2</v>
      </c>
      <c r="Y520" s="17">
        <v>2.8352972328534402E-2</v>
      </c>
    </row>
    <row r="521" spans="2:25" x14ac:dyDescent="0.35">
      <c r="C521" s="17"/>
      <c r="D521" s="17"/>
      <c r="E521" s="17"/>
      <c r="F521" s="17"/>
      <c r="G521" s="17"/>
      <c r="H521" s="17"/>
      <c r="I521" s="17"/>
      <c r="J521" s="17"/>
      <c r="K521" s="17"/>
      <c r="L521" s="17"/>
      <c r="M521" s="17"/>
      <c r="N521" s="17"/>
      <c r="O521" s="17"/>
      <c r="P521" s="17"/>
      <c r="Q521" s="17"/>
      <c r="R521" s="17"/>
      <c r="S521" s="17"/>
      <c r="T521" s="17"/>
      <c r="U521" s="17"/>
      <c r="V521" s="17"/>
      <c r="W521" s="17"/>
      <c r="X521" s="17"/>
      <c r="Y521" s="17"/>
    </row>
    <row r="522" spans="2:25" x14ac:dyDescent="0.35">
      <c r="B522" s="6" t="s">
        <v>242</v>
      </c>
      <c r="C522" s="17"/>
      <c r="D522" s="17"/>
      <c r="E522" s="17"/>
      <c r="F522" s="17"/>
      <c r="G522" s="17"/>
      <c r="H522" s="17"/>
      <c r="I522" s="17"/>
      <c r="J522" s="17"/>
      <c r="K522" s="17"/>
      <c r="L522" s="17"/>
      <c r="M522" s="17"/>
      <c r="N522" s="17"/>
      <c r="O522" s="17"/>
      <c r="P522" s="17"/>
      <c r="Q522" s="17"/>
      <c r="R522" s="17"/>
      <c r="S522" s="17"/>
      <c r="T522" s="17"/>
      <c r="U522" s="17"/>
      <c r="V522" s="17"/>
      <c r="W522" s="17"/>
      <c r="X522" s="17"/>
      <c r="Y522" s="17"/>
    </row>
    <row r="523" spans="2:25" x14ac:dyDescent="0.35">
      <c r="B523" s="24" t="s">
        <v>50</v>
      </c>
      <c r="C523" s="17"/>
      <c r="D523" s="17"/>
      <c r="E523" s="17"/>
      <c r="F523" s="17"/>
      <c r="G523" s="17"/>
      <c r="H523" s="17"/>
      <c r="I523" s="17"/>
      <c r="J523" s="17"/>
      <c r="K523" s="17"/>
      <c r="L523" s="17"/>
      <c r="M523" s="17"/>
      <c r="N523" s="17"/>
      <c r="O523" s="17"/>
      <c r="P523" s="17"/>
      <c r="Q523" s="17"/>
      <c r="R523" s="17"/>
      <c r="S523" s="17"/>
      <c r="T523" s="17"/>
      <c r="U523" s="17"/>
      <c r="V523" s="17"/>
      <c r="W523" s="17"/>
      <c r="X523" s="17"/>
      <c r="Y523" s="17"/>
    </row>
    <row r="524" spans="2:25" x14ac:dyDescent="0.35">
      <c r="B524" t="s">
        <v>222</v>
      </c>
      <c r="C524" s="17">
        <v>0.403870893390257</v>
      </c>
      <c r="D524" s="17">
        <v>0.35015774018286699</v>
      </c>
      <c r="E524" s="17">
        <v>0.454390213711168</v>
      </c>
      <c r="F524" s="17"/>
      <c r="G524" s="17">
        <v>0.344650514245739</v>
      </c>
      <c r="H524" s="17">
        <v>0.31358795833998998</v>
      </c>
      <c r="I524" s="17">
        <v>0.33755682108824397</v>
      </c>
      <c r="J524" s="17">
        <v>0.37808908023266902</v>
      </c>
      <c r="K524" s="17">
        <v>0.44780932021331399</v>
      </c>
      <c r="L524" s="17">
        <v>0.510589898030543</v>
      </c>
      <c r="M524" s="17"/>
      <c r="N524" s="17">
        <v>0.39246935054744603</v>
      </c>
      <c r="O524" s="17">
        <v>0.39532017352919302</v>
      </c>
      <c r="P524" s="17">
        <v>0.37769998851664</v>
      </c>
      <c r="Q524" s="17">
        <v>0.35804585962843499</v>
      </c>
      <c r="R524" s="17">
        <v>0.482468224431716</v>
      </c>
      <c r="S524" s="17">
        <v>0.48864887495556197</v>
      </c>
      <c r="T524" s="17">
        <v>0.27908058643177902</v>
      </c>
      <c r="U524" s="17">
        <v>0.43904259323679701</v>
      </c>
      <c r="V524" s="17">
        <v>0.408939344163461</v>
      </c>
      <c r="W524" s="17"/>
      <c r="X524" s="17">
        <v>0.27062045463447099</v>
      </c>
      <c r="Y524" s="17">
        <v>0.477607225759278</v>
      </c>
    </row>
    <row r="525" spans="2:25" x14ac:dyDescent="0.35">
      <c r="B525" t="s">
        <v>223</v>
      </c>
      <c r="C525" s="17">
        <v>0.53945116886403499</v>
      </c>
      <c r="D525" s="17">
        <v>0.60880676715165105</v>
      </c>
      <c r="E525" s="17">
        <v>0.47429366137783502</v>
      </c>
      <c r="F525" s="17"/>
      <c r="G525" s="17">
        <v>0.583951631711213</v>
      </c>
      <c r="H525" s="17">
        <v>0.63901456592146499</v>
      </c>
      <c r="I525" s="17">
        <v>0.61051600479081702</v>
      </c>
      <c r="J525" s="17">
        <v>0.56681324134334399</v>
      </c>
      <c r="K525" s="17">
        <v>0.49964916650165397</v>
      </c>
      <c r="L525" s="17">
        <v>0.42586630505634498</v>
      </c>
      <c r="M525" s="17"/>
      <c r="N525" s="17">
        <v>0.56289146264970802</v>
      </c>
      <c r="O525" s="17">
        <v>0.59243731211803996</v>
      </c>
      <c r="P525" s="17">
        <v>0.55818375575243995</v>
      </c>
      <c r="Q525" s="17">
        <v>0.60627076667889701</v>
      </c>
      <c r="R525" s="17">
        <v>0.426745842641502</v>
      </c>
      <c r="S525" s="17">
        <v>0.46222420010723297</v>
      </c>
      <c r="T525" s="17">
        <v>0.67008457145249101</v>
      </c>
      <c r="U525" s="17">
        <v>0.497901466728084</v>
      </c>
      <c r="V525" s="17">
        <v>0.53996318246507202</v>
      </c>
      <c r="W525" s="17"/>
      <c r="X525" s="17">
        <v>0.70055105899958303</v>
      </c>
      <c r="Y525" s="17">
        <v>0.450303882336758</v>
      </c>
    </row>
    <row r="526" spans="2:25" x14ac:dyDescent="0.35">
      <c r="B526" t="s">
        <v>224</v>
      </c>
      <c r="C526" s="17">
        <v>5.6677937745707202E-2</v>
      </c>
      <c r="D526" s="17">
        <v>4.1035492665481801E-2</v>
      </c>
      <c r="E526" s="17">
        <v>7.1316124910996301E-2</v>
      </c>
      <c r="F526" s="17"/>
      <c r="G526" s="17">
        <v>7.1397854043047604E-2</v>
      </c>
      <c r="H526" s="17">
        <v>4.73974757385449E-2</v>
      </c>
      <c r="I526" s="17">
        <v>5.1927174120938599E-2</v>
      </c>
      <c r="J526" s="17">
        <v>5.50976784239866E-2</v>
      </c>
      <c r="K526" s="17">
        <v>5.2541513285032801E-2</v>
      </c>
      <c r="L526" s="17">
        <v>6.3543796913112002E-2</v>
      </c>
      <c r="M526" s="17"/>
      <c r="N526" s="17">
        <v>4.4639186802846099E-2</v>
      </c>
      <c r="O526" s="17">
        <v>1.22425143527672E-2</v>
      </c>
      <c r="P526" s="17">
        <v>6.4116255730920294E-2</v>
      </c>
      <c r="Q526" s="17">
        <v>3.5683373692668302E-2</v>
      </c>
      <c r="R526" s="17">
        <v>9.0785932926782095E-2</v>
      </c>
      <c r="S526" s="17">
        <v>4.9126924937204997E-2</v>
      </c>
      <c r="T526" s="17">
        <v>5.0834842115729903E-2</v>
      </c>
      <c r="U526" s="17">
        <v>6.3055940035118302E-2</v>
      </c>
      <c r="V526" s="17">
        <v>5.1097473371466903E-2</v>
      </c>
      <c r="W526" s="17"/>
      <c r="X526" s="17">
        <v>2.8828486365945399E-2</v>
      </c>
      <c r="Y526" s="17">
        <v>7.2088891903963906E-2</v>
      </c>
    </row>
    <row r="527" spans="2:25" x14ac:dyDescent="0.35">
      <c r="C527" s="17"/>
      <c r="D527" s="17"/>
      <c r="E527" s="17"/>
      <c r="F527" s="17"/>
      <c r="G527" s="17"/>
      <c r="H527" s="17"/>
      <c r="I527" s="17"/>
      <c r="J527" s="17"/>
      <c r="K527" s="17"/>
      <c r="L527" s="17"/>
      <c r="M527" s="17"/>
      <c r="N527" s="17"/>
      <c r="O527" s="17"/>
      <c r="P527" s="17"/>
      <c r="Q527" s="17"/>
      <c r="R527" s="17"/>
      <c r="S527" s="17"/>
      <c r="T527" s="17"/>
      <c r="U527" s="17"/>
      <c r="V527" s="17"/>
      <c r="W527" s="17"/>
      <c r="X527" s="17"/>
      <c r="Y527" s="17"/>
    </row>
    <row r="528" spans="2:25" x14ac:dyDescent="0.35">
      <c r="B528" s="6" t="s">
        <v>243</v>
      </c>
      <c r="C528" s="17"/>
      <c r="D528" s="17"/>
      <c r="E528" s="17"/>
      <c r="F528" s="17"/>
      <c r="G528" s="17"/>
      <c r="H528" s="17"/>
      <c r="I528" s="17"/>
      <c r="J528" s="17"/>
      <c r="K528" s="17"/>
      <c r="L528" s="17"/>
      <c r="M528" s="17"/>
      <c r="N528" s="17"/>
      <c r="O528" s="17"/>
      <c r="P528" s="17"/>
      <c r="Q528" s="17"/>
      <c r="R528" s="17"/>
      <c r="S528" s="17"/>
      <c r="T528" s="17"/>
      <c r="U528" s="17"/>
      <c r="V528" s="17"/>
      <c r="W528" s="17"/>
      <c r="X528" s="17"/>
      <c r="Y528" s="17"/>
    </row>
    <row r="529" spans="2:25" x14ac:dyDescent="0.35">
      <c r="B529" s="24" t="s">
        <v>50</v>
      </c>
      <c r="C529" s="17"/>
      <c r="D529" s="17"/>
      <c r="E529" s="17"/>
      <c r="F529" s="17"/>
      <c r="G529" s="17"/>
      <c r="H529" s="17"/>
      <c r="I529" s="17"/>
      <c r="J529" s="17"/>
      <c r="K529" s="17"/>
      <c r="L529" s="17"/>
      <c r="M529" s="17"/>
      <c r="N529" s="17"/>
      <c r="O529" s="17"/>
      <c r="P529" s="17"/>
      <c r="Q529" s="17"/>
      <c r="R529" s="17"/>
      <c r="S529" s="17"/>
      <c r="T529" s="17"/>
      <c r="U529" s="17"/>
      <c r="V529" s="17"/>
      <c r="W529" s="17"/>
      <c r="X529" s="17"/>
      <c r="Y529" s="17"/>
    </row>
    <row r="530" spans="2:25" x14ac:dyDescent="0.35">
      <c r="B530" t="s">
        <v>222</v>
      </c>
      <c r="C530" s="17">
        <v>0.52487200802157896</v>
      </c>
      <c r="D530" s="17">
        <v>0.45229202424682502</v>
      </c>
      <c r="E530" s="17">
        <v>0.59244647785346205</v>
      </c>
      <c r="F530" s="17"/>
      <c r="G530" s="17">
        <v>0.48951678372699098</v>
      </c>
      <c r="H530" s="17">
        <v>0.43734776698925498</v>
      </c>
      <c r="I530" s="17">
        <v>0.43750737773479897</v>
      </c>
      <c r="J530" s="17">
        <v>0.49710903195304301</v>
      </c>
      <c r="K530" s="17">
        <v>0.55800209094296904</v>
      </c>
      <c r="L530" s="17">
        <v>0.64304759241847598</v>
      </c>
      <c r="M530" s="17"/>
      <c r="N530" s="17">
        <v>0.50243723671946705</v>
      </c>
      <c r="O530" s="17">
        <v>0.58311127681020802</v>
      </c>
      <c r="P530" s="17">
        <v>0.53959498391194904</v>
      </c>
      <c r="Q530" s="17">
        <v>0.57052195515373305</v>
      </c>
      <c r="R530" s="17">
        <v>0.503101259181024</v>
      </c>
      <c r="S530" s="17">
        <v>0.58574693798925104</v>
      </c>
      <c r="T530" s="17">
        <v>0.47611526278842498</v>
      </c>
      <c r="U530" s="17">
        <v>0.47173190753400601</v>
      </c>
      <c r="V530" s="17">
        <v>0.51448985711487705</v>
      </c>
      <c r="W530" s="17"/>
      <c r="X530" s="17">
        <v>0.38713545326339099</v>
      </c>
      <c r="Y530" s="17">
        <v>0.60109080681763605</v>
      </c>
    </row>
    <row r="531" spans="2:25" x14ac:dyDescent="0.35">
      <c r="B531" t="s">
        <v>223</v>
      </c>
      <c r="C531" s="17">
        <v>0.40837785002897098</v>
      </c>
      <c r="D531" s="17">
        <v>0.49041767708119099</v>
      </c>
      <c r="E531" s="17">
        <v>0.33191195714370803</v>
      </c>
      <c r="F531" s="17"/>
      <c r="G531" s="17">
        <v>0.43480456501787701</v>
      </c>
      <c r="H531" s="17">
        <v>0.50929856194211598</v>
      </c>
      <c r="I531" s="17">
        <v>0.50593104114559095</v>
      </c>
      <c r="J531" s="17">
        <v>0.43336836104538401</v>
      </c>
      <c r="K531" s="17">
        <v>0.37337790989695502</v>
      </c>
      <c r="L531" s="17">
        <v>0.282184328993897</v>
      </c>
      <c r="M531" s="17"/>
      <c r="N531" s="17">
        <v>0.471299817730853</v>
      </c>
      <c r="O531" s="17">
        <v>0.39144225689210699</v>
      </c>
      <c r="P531" s="17">
        <v>0.35884946932809397</v>
      </c>
      <c r="Q531" s="17">
        <v>0.38396448181248399</v>
      </c>
      <c r="R531" s="17">
        <v>0.41528372178146</v>
      </c>
      <c r="S531" s="17">
        <v>0.33693592797965899</v>
      </c>
      <c r="T531" s="17">
        <v>0.460929234533414</v>
      </c>
      <c r="U531" s="17">
        <v>0.46880712984054101</v>
      </c>
      <c r="V531" s="17">
        <v>0.446793296410541</v>
      </c>
      <c r="W531" s="17"/>
      <c r="X531" s="17">
        <v>0.57670963052530899</v>
      </c>
      <c r="Y531" s="17">
        <v>0.31522867745704902</v>
      </c>
    </row>
    <row r="532" spans="2:25" x14ac:dyDescent="0.35">
      <c r="B532" t="s">
        <v>224</v>
      </c>
      <c r="C532" s="17">
        <v>6.6750141949449907E-2</v>
      </c>
      <c r="D532" s="17">
        <v>5.7290298671984603E-2</v>
      </c>
      <c r="E532" s="17">
        <v>7.56415650028293E-2</v>
      </c>
      <c r="F532" s="17"/>
      <c r="G532" s="17">
        <v>7.5678651255132304E-2</v>
      </c>
      <c r="H532" s="17">
        <v>5.3353671068629697E-2</v>
      </c>
      <c r="I532" s="17">
        <v>5.6561581119609301E-2</v>
      </c>
      <c r="J532" s="17">
        <v>6.9522607001573394E-2</v>
      </c>
      <c r="K532" s="17">
        <v>6.8619999160076606E-2</v>
      </c>
      <c r="L532" s="17">
        <v>7.4768078587627101E-2</v>
      </c>
      <c r="M532" s="17"/>
      <c r="N532" s="17">
        <v>2.6262945549679902E-2</v>
      </c>
      <c r="O532" s="17">
        <v>2.5446466297684701E-2</v>
      </c>
      <c r="P532" s="17">
        <v>0.101555546759957</v>
      </c>
      <c r="Q532" s="17">
        <v>4.5513563033782602E-2</v>
      </c>
      <c r="R532" s="17">
        <v>8.1615019037515696E-2</v>
      </c>
      <c r="S532" s="17">
        <v>7.7317134031089904E-2</v>
      </c>
      <c r="T532" s="17">
        <v>6.2955502678160399E-2</v>
      </c>
      <c r="U532" s="17">
        <v>5.9460962625452897E-2</v>
      </c>
      <c r="V532" s="17">
        <v>3.8716846474581901E-2</v>
      </c>
      <c r="W532" s="17"/>
      <c r="X532" s="17">
        <v>3.6154916211300299E-2</v>
      </c>
      <c r="Y532" s="17">
        <v>8.3680515725314694E-2</v>
      </c>
    </row>
    <row r="533" spans="2:25" x14ac:dyDescent="0.35">
      <c r="C533" s="17"/>
      <c r="D533" s="17"/>
      <c r="E533" s="17"/>
      <c r="F533" s="17"/>
      <c r="G533" s="17"/>
      <c r="H533" s="17"/>
      <c r="I533" s="17"/>
      <c r="J533" s="17"/>
      <c r="K533" s="17"/>
      <c r="L533" s="17"/>
      <c r="M533" s="17"/>
      <c r="N533" s="17"/>
      <c r="O533" s="17"/>
      <c r="P533" s="17"/>
      <c r="Q533" s="17"/>
      <c r="R533" s="17"/>
      <c r="S533" s="17"/>
      <c r="T533" s="17"/>
      <c r="U533" s="17"/>
      <c r="V533" s="17"/>
      <c r="W533" s="17"/>
      <c r="X533" s="17"/>
      <c r="Y533" s="17"/>
    </row>
    <row r="534" spans="2:25" x14ac:dyDescent="0.35">
      <c r="B534" s="6" t="s">
        <v>244</v>
      </c>
      <c r="C534" s="17"/>
      <c r="D534" s="17"/>
      <c r="E534" s="17"/>
      <c r="F534" s="17"/>
      <c r="G534" s="17"/>
      <c r="H534" s="17"/>
      <c r="I534" s="17"/>
      <c r="J534" s="17"/>
      <c r="K534" s="17"/>
      <c r="L534" s="17"/>
      <c r="M534" s="17"/>
      <c r="N534" s="17"/>
      <c r="O534" s="17"/>
      <c r="P534" s="17"/>
      <c r="Q534" s="17"/>
      <c r="R534" s="17"/>
      <c r="S534" s="17"/>
      <c r="T534" s="17"/>
      <c r="U534" s="17"/>
      <c r="V534" s="17"/>
      <c r="W534" s="17"/>
      <c r="X534" s="17"/>
      <c r="Y534" s="17"/>
    </row>
    <row r="535" spans="2:25" x14ac:dyDescent="0.35">
      <c r="B535" s="24" t="s">
        <v>50</v>
      </c>
      <c r="C535" s="17"/>
      <c r="D535" s="17"/>
      <c r="E535" s="17"/>
      <c r="F535" s="17"/>
      <c r="G535" s="17"/>
      <c r="H535" s="17"/>
      <c r="I535" s="17"/>
      <c r="J535" s="17"/>
      <c r="K535" s="17"/>
      <c r="L535" s="17"/>
      <c r="M535" s="17"/>
      <c r="N535" s="17"/>
      <c r="O535" s="17"/>
      <c r="P535" s="17"/>
      <c r="Q535" s="17"/>
      <c r="R535" s="17"/>
      <c r="S535" s="17"/>
      <c r="T535" s="17"/>
      <c r="U535" s="17"/>
      <c r="V535" s="17"/>
      <c r="W535" s="17"/>
      <c r="X535" s="17"/>
      <c r="Y535" s="17"/>
    </row>
    <row r="536" spans="2:25" x14ac:dyDescent="0.35">
      <c r="B536" t="s">
        <v>222</v>
      </c>
      <c r="C536" s="17">
        <v>0.46363521919635597</v>
      </c>
      <c r="D536" s="17">
        <v>0.42724576819106302</v>
      </c>
      <c r="E536" s="17">
        <v>0.49856556927379903</v>
      </c>
      <c r="F536" s="17"/>
      <c r="G536" s="17">
        <v>0.240598876139624</v>
      </c>
      <c r="H536" s="17">
        <v>0.31693737676817701</v>
      </c>
      <c r="I536" s="17">
        <v>0.36155143647575499</v>
      </c>
      <c r="J536" s="17">
        <v>0.44542976210082802</v>
      </c>
      <c r="K536" s="17">
        <v>0.56828761066056299</v>
      </c>
      <c r="L536" s="17">
        <v>0.64251875064611497</v>
      </c>
      <c r="M536" s="17"/>
      <c r="N536" s="17">
        <v>0.54028588944714695</v>
      </c>
      <c r="O536" s="17">
        <v>0.48865424337756003</v>
      </c>
      <c r="P536" s="17">
        <v>0.52199176386306501</v>
      </c>
      <c r="Q536" s="17">
        <v>0.467071784360442</v>
      </c>
      <c r="R536" s="17">
        <v>0.439465785080972</v>
      </c>
      <c r="S536" s="17">
        <v>0.54012459318001504</v>
      </c>
      <c r="T536" s="17">
        <v>0.40408199372328302</v>
      </c>
      <c r="U536" s="17">
        <v>0.36956069100073502</v>
      </c>
      <c r="V536" s="17">
        <v>0.51080664925721997</v>
      </c>
      <c r="W536" s="17"/>
      <c r="X536" s="17">
        <v>0.38393060137259899</v>
      </c>
      <c r="Y536" s="17">
        <v>0.50774108665972395</v>
      </c>
    </row>
    <row r="537" spans="2:25" x14ac:dyDescent="0.35">
      <c r="B537" t="s">
        <v>223</v>
      </c>
      <c r="C537" s="17">
        <v>0.493976125394475</v>
      </c>
      <c r="D537" s="17">
        <v>0.534861458218715</v>
      </c>
      <c r="E537" s="17">
        <v>0.45464373507788403</v>
      </c>
      <c r="F537" s="17"/>
      <c r="G537" s="17">
        <v>0.72988103940916105</v>
      </c>
      <c r="H537" s="17">
        <v>0.64786385398521396</v>
      </c>
      <c r="I537" s="17">
        <v>0.60784646370739204</v>
      </c>
      <c r="J537" s="17">
        <v>0.50317790268173401</v>
      </c>
      <c r="K537" s="17">
        <v>0.38716748977486898</v>
      </c>
      <c r="L537" s="17">
        <v>0.30605871172494598</v>
      </c>
      <c r="M537" s="17"/>
      <c r="N537" s="17">
        <v>0.43333454536573401</v>
      </c>
      <c r="O537" s="17">
        <v>0.49482257264060298</v>
      </c>
      <c r="P537" s="17">
        <v>0.40607368932683002</v>
      </c>
      <c r="Q537" s="17">
        <v>0.49864955259808003</v>
      </c>
      <c r="R537" s="17">
        <v>0.50502687210235397</v>
      </c>
      <c r="S537" s="17">
        <v>0.431701590859141</v>
      </c>
      <c r="T537" s="17">
        <v>0.54974759987585597</v>
      </c>
      <c r="U537" s="17">
        <v>0.59277949015331399</v>
      </c>
      <c r="V537" s="17">
        <v>0.473731960802737</v>
      </c>
      <c r="W537" s="17"/>
      <c r="X537" s="17">
        <v>0.59104232570026205</v>
      </c>
      <c r="Y537" s="17">
        <v>0.44026293934888999</v>
      </c>
    </row>
    <row r="538" spans="2:25" x14ac:dyDescent="0.35">
      <c r="B538" t="s">
        <v>224</v>
      </c>
      <c r="C538" s="17">
        <v>4.2388655409168897E-2</v>
      </c>
      <c r="D538" s="17">
        <v>3.7892773590222001E-2</v>
      </c>
      <c r="E538" s="17">
        <v>4.6790695648316699E-2</v>
      </c>
      <c r="F538" s="17"/>
      <c r="G538" s="17">
        <v>2.9520084451215099E-2</v>
      </c>
      <c r="H538" s="17">
        <v>3.5198769246608801E-2</v>
      </c>
      <c r="I538" s="17">
        <v>3.0602099816852701E-2</v>
      </c>
      <c r="J538" s="17">
        <v>5.1392335217437399E-2</v>
      </c>
      <c r="K538" s="17">
        <v>4.4544899564568002E-2</v>
      </c>
      <c r="L538" s="17">
        <v>5.1422537628939197E-2</v>
      </c>
      <c r="M538" s="17"/>
      <c r="N538" s="17">
        <v>2.63795651871187E-2</v>
      </c>
      <c r="O538" s="17">
        <v>1.6523183981836598E-2</v>
      </c>
      <c r="P538" s="17">
        <v>7.1934546810104805E-2</v>
      </c>
      <c r="Q538" s="17">
        <v>3.42786630414781E-2</v>
      </c>
      <c r="R538" s="17">
        <v>5.5507342816673598E-2</v>
      </c>
      <c r="S538" s="17">
        <v>2.8173815960843701E-2</v>
      </c>
      <c r="T538" s="17">
        <v>4.61704064008613E-2</v>
      </c>
      <c r="U538" s="17">
        <v>3.7659818845951001E-2</v>
      </c>
      <c r="V538" s="17">
        <v>1.54613899400435E-2</v>
      </c>
      <c r="W538" s="17"/>
      <c r="X538" s="17">
        <v>2.5027072927139401E-2</v>
      </c>
      <c r="Y538" s="17">
        <v>5.1995973991386397E-2</v>
      </c>
    </row>
    <row r="539" spans="2:25" x14ac:dyDescent="0.35">
      <c r="C539" s="17"/>
      <c r="D539" s="17"/>
      <c r="E539" s="17"/>
      <c r="F539" s="17"/>
      <c r="G539" s="17"/>
      <c r="H539" s="17"/>
      <c r="I539" s="17"/>
      <c r="J539" s="17"/>
      <c r="K539" s="17"/>
      <c r="L539" s="17"/>
      <c r="M539" s="17"/>
      <c r="N539" s="17"/>
      <c r="O539" s="17"/>
      <c r="P539" s="17"/>
      <c r="Q539" s="17"/>
      <c r="R539" s="17"/>
      <c r="S539" s="17"/>
      <c r="T539" s="17"/>
      <c r="U539" s="17"/>
      <c r="V539" s="17"/>
      <c r="W539" s="17"/>
      <c r="X539" s="17"/>
      <c r="Y539" s="17"/>
    </row>
    <row r="540" spans="2:25" x14ac:dyDescent="0.35">
      <c r="B540" s="6" t="s">
        <v>245</v>
      </c>
      <c r="C540" s="17"/>
      <c r="D540" s="17"/>
      <c r="E540" s="17"/>
      <c r="F540" s="17"/>
      <c r="G540" s="17"/>
      <c r="H540" s="17"/>
      <c r="I540" s="17"/>
      <c r="J540" s="17"/>
      <c r="K540" s="17"/>
      <c r="L540" s="17"/>
      <c r="M540" s="17"/>
      <c r="N540" s="17"/>
      <c r="O540" s="17"/>
      <c r="P540" s="17"/>
      <c r="Q540" s="17"/>
      <c r="R540" s="17"/>
      <c r="S540" s="17"/>
      <c r="T540" s="17"/>
      <c r="U540" s="17"/>
      <c r="V540" s="17"/>
      <c r="W540" s="17"/>
      <c r="X540" s="17"/>
      <c r="Y540" s="17"/>
    </row>
    <row r="541" spans="2:25" x14ac:dyDescent="0.35">
      <c r="B541" s="24" t="s">
        <v>50</v>
      </c>
      <c r="C541" s="17"/>
      <c r="D541" s="17"/>
      <c r="E541" s="17"/>
      <c r="F541" s="17"/>
      <c r="G541" s="17"/>
      <c r="H541" s="17"/>
      <c r="I541" s="17"/>
      <c r="J541" s="17"/>
      <c r="K541" s="17"/>
      <c r="L541" s="17"/>
      <c r="M541" s="17"/>
      <c r="N541" s="17"/>
      <c r="O541" s="17"/>
      <c r="P541" s="17"/>
      <c r="Q541" s="17"/>
      <c r="R541" s="17"/>
      <c r="S541" s="17"/>
      <c r="T541" s="17"/>
      <c r="U541" s="17"/>
      <c r="V541" s="17"/>
      <c r="W541" s="17"/>
      <c r="X541" s="17"/>
      <c r="Y541" s="17"/>
    </row>
    <row r="542" spans="2:25" x14ac:dyDescent="0.35">
      <c r="B542" t="s">
        <v>222</v>
      </c>
      <c r="C542" s="17">
        <v>0.57698141768701905</v>
      </c>
      <c r="D542" s="17">
        <v>0.54024189078007301</v>
      </c>
      <c r="E542" s="17">
        <v>0.61185740161782898</v>
      </c>
      <c r="F542" s="17"/>
      <c r="G542" s="17">
        <v>0.30927403743149501</v>
      </c>
      <c r="H542" s="17">
        <v>0.44976455790852998</v>
      </c>
      <c r="I542" s="17">
        <v>0.52080233506467699</v>
      </c>
      <c r="J542" s="17">
        <v>0.56874746404069298</v>
      </c>
      <c r="K542" s="17">
        <v>0.67843328419359905</v>
      </c>
      <c r="L542" s="17">
        <v>0.72680361748779898</v>
      </c>
      <c r="M542" s="17"/>
      <c r="N542" s="17">
        <v>0.60932443777003897</v>
      </c>
      <c r="O542" s="17">
        <v>0.55106569426088803</v>
      </c>
      <c r="P542" s="17">
        <v>0.58735860252310301</v>
      </c>
      <c r="Q542" s="17">
        <v>0.58397567923964</v>
      </c>
      <c r="R542" s="17">
        <v>0.56989002959860302</v>
      </c>
      <c r="S542" s="17">
        <v>0.59500111707964398</v>
      </c>
      <c r="T542" s="17">
        <v>0.56303660173929704</v>
      </c>
      <c r="U542" s="17">
        <v>0.54071239515653002</v>
      </c>
      <c r="V542" s="17">
        <v>0.62786270739808303</v>
      </c>
      <c r="W542" s="17"/>
      <c r="X542" s="17">
        <v>0.457980469273435</v>
      </c>
      <c r="Y542" s="17">
        <v>0.64283255908952197</v>
      </c>
    </row>
    <row r="543" spans="2:25" x14ac:dyDescent="0.35">
      <c r="B543" t="s">
        <v>223</v>
      </c>
      <c r="C543" s="17">
        <v>0.376369357187887</v>
      </c>
      <c r="D543" s="17">
        <v>0.41938603053991602</v>
      </c>
      <c r="E543" s="17">
        <v>0.33539740115062999</v>
      </c>
      <c r="F543" s="17"/>
      <c r="G543" s="17">
        <v>0.660954264968032</v>
      </c>
      <c r="H543" s="17">
        <v>0.52140236164464304</v>
      </c>
      <c r="I543" s="17">
        <v>0.44896266342805002</v>
      </c>
      <c r="J543" s="17">
        <v>0.37826111983317001</v>
      </c>
      <c r="K543" s="17">
        <v>0.27205658180266001</v>
      </c>
      <c r="L543" s="17">
        <v>0.205407437625613</v>
      </c>
      <c r="M543" s="17"/>
      <c r="N543" s="17">
        <v>0.372479062374026</v>
      </c>
      <c r="O543" s="17">
        <v>0.419848050854847</v>
      </c>
      <c r="P543" s="17">
        <v>0.33108747173856201</v>
      </c>
      <c r="Q543" s="17">
        <v>0.39057519351731501</v>
      </c>
      <c r="R543" s="17">
        <v>0.36057365930893498</v>
      </c>
      <c r="S543" s="17">
        <v>0.37907353292787699</v>
      </c>
      <c r="T543" s="17">
        <v>0.386281566900193</v>
      </c>
      <c r="U543" s="17">
        <v>0.410792841003563</v>
      </c>
      <c r="V543" s="17">
        <v>0.35607899714285601</v>
      </c>
      <c r="W543" s="17"/>
      <c r="X543" s="17">
        <v>0.52198601903144104</v>
      </c>
      <c r="Y543" s="17">
        <v>0.29578997091027598</v>
      </c>
    </row>
    <row r="544" spans="2:25" x14ac:dyDescent="0.35">
      <c r="B544" t="s">
        <v>224</v>
      </c>
      <c r="C544" s="17">
        <v>4.6649225125093403E-2</v>
      </c>
      <c r="D544" s="17">
        <v>4.0372078680010498E-2</v>
      </c>
      <c r="E544" s="17">
        <v>5.2745197231542001E-2</v>
      </c>
      <c r="F544" s="17"/>
      <c r="G544" s="17">
        <v>2.97716976004734E-2</v>
      </c>
      <c r="H544" s="17">
        <v>2.88330804468271E-2</v>
      </c>
      <c r="I544" s="17">
        <v>3.0235001507272999E-2</v>
      </c>
      <c r="J544" s="17">
        <v>5.2991416126136899E-2</v>
      </c>
      <c r="K544" s="17">
        <v>4.95101340037407E-2</v>
      </c>
      <c r="L544" s="17">
        <v>6.7788944886587502E-2</v>
      </c>
      <c r="M544" s="17"/>
      <c r="N544" s="17">
        <v>1.8196499855935602E-2</v>
      </c>
      <c r="O544" s="17">
        <v>2.90862548842643E-2</v>
      </c>
      <c r="P544" s="17">
        <v>8.1553925738335101E-2</v>
      </c>
      <c r="Q544" s="17">
        <v>2.54491272430445E-2</v>
      </c>
      <c r="R544" s="17">
        <v>6.9536311092461903E-2</v>
      </c>
      <c r="S544" s="17">
        <v>2.59253499924787E-2</v>
      </c>
      <c r="T544" s="17">
        <v>5.068183136051E-2</v>
      </c>
      <c r="U544" s="17">
        <v>4.8494763839907903E-2</v>
      </c>
      <c r="V544" s="17">
        <v>1.60582954590603E-2</v>
      </c>
      <c r="W544" s="17"/>
      <c r="X544" s="17">
        <v>2.0033511695123501E-2</v>
      </c>
      <c r="Y544" s="17">
        <v>6.1377470000202002E-2</v>
      </c>
    </row>
    <row r="545" spans="2:25" x14ac:dyDescent="0.35">
      <c r="C545" s="17"/>
      <c r="D545" s="17"/>
      <c r="E545" s="17"/>
      <c r="F545" s="17"/>
      <c r="G545" s="17"/>
      <c r="H545" s="17"/>
      <c r="I545" s="17"/>
      <c r="J545" s="17"/>
      <c r="K545" s="17"/>
      <c r="L545" s="17"/>
      <c r="M545" s="17"/>
      <c r="N545" s="17"/>
      <c r="O545" s="17"/>
      <c r="P545" s="17"/>
      <c r="Q545" s="17"/>
      <c r="R545" s="17"/>
      <c r="S545" s="17"/>
      <c r="T545" s="17"/>
      <c r="U545" s="17"/>
      <c r="V545" s="17"/>
      <c r="W545" s="17"/>
      <c r="X545" s="17"/>
      <c r="Y545" s="17"/>
    </row>
    <row r="546" spans="2:25" x14ac:dyDescent="0.35">
      <c r="B546" s="6" t="s">
        <v>246</v>
      </c>
      <c r="C546" s="17"/>
      <c r="D546" s="17"/>
      <c r="E546" s="17"/>
      <c r="F546" s="17"/>
      <c r="G546" s="17"/>
      <c r="H546" s="17"/>
      <c r="I546" s="17"/>
      <c r="J546" s="17"/>
      <c r="K546" s="17"/>
      <c r="L546" s="17"/>
      <c r="M546" s="17"/>
      <c r="N546" s="17"/>
      <c r="O546" s="17"/>
      <c r="P546" s="17"/>
      <c r="Q546" s="17"/>
      <c r="R546" s="17"/>
      <c r="S546" s="17"/>
      <c r="T546" s="17"/>
      <c r="U546" s="17"/>
      <c r="V546" s="17"/>
      <c r="W546" s="17"/>
      <c r="X546" s="17"/>
      <c r="Y546" s="17"/>
    </row>
    <row r="547" spans="2:25" x14ac:dyDescent="0.35">
      <c r="B547" s="24" t="s">
        <v>50</v>
      </c>
      <c r="C547" s="17"/>
      <c r="D547" s="17"/>
      <c r="E547" s="17"/>
      <c r="F547" s="17"/>
      <c r="G547" s="17"/>
      <c r="H547" s="17"/>
      <c r="I547" s="17"/>
      <c r="J547" s="17"/>
      <c r="K547" s="17"/>
      <c r="L547" s="17"/>
      <c r="M547" s="17"/>
      <c r="N547" s="17"/>
      <c r="O547" s="17"/>
      <c r="P547" s="17"/>
      <c r="Q547" s="17"/>
      <c r="R547" s="17"/>
      <c r="S547" s="17"/>
      <c r="T547" s="17"/>
      <c r="U547" s="17"/>
      <c r="V547" s="17"/>
      <c r="W547" s="17"/>
      <c r="X547" s="17"/>
      <c r="Y547" s="17"/>
    </row>
    <row r="548" spans="2:25" x14ac:dyDescent="0.35">
      <c r="B548" t="s">
        <v>222</v>
      </c>
      <c r="C548" s="17">
        <v>0.64334048426544499</v>
      </c>
      <c r="D548" s="17">
        <v>0.59387037828670997</v>
      </c>
      <c r="E548" s="17">
        <v>0.68989935085797505</v>
      </c>
      <c r="F548" s="17"/>
      <c r="G548" s="17">
        <v>0.55985075005484297</v>
      </c>
      <c r="H548" s="17">
        <v>0.54568337089188301</v>
      </c>
      <c r="I548" s="17">
        <v>0.57910437741061604</v>
      </c>
      <c r="J548" s="17">
        <v>0.63898663499122998</v>
      </c>
      <c r="K548" s="17">
        <v>0.68829596947613603</v>
      </c>
      <c r="L548" s="17">
        <v>0.74681151191338102</v>
      </c>
      <c r="M548" s="17"/>
      <c r="N548" s="17">
        <v>0.69840010787663698</v>
      </c>
      <c r="O548" s="17">
        <v>0.67139848335757402</v>
      </c>
      <c r="P548" s="17">
        <v>0.64004319153917999</v>
      </c>
      <c r="Q548" s="17">
        <v>0.65298437500386397</v>
      </c>
      <c r="R548" s="17">
        <v>0.62043321714313404</v>
      </c>
      <c r="S548" s="17">
        <v>0.701829317016744</v>
      </c>
      <c r="T548" s="17">
        <v>0.62618150454072197</v>
      </c>
      <c r="U548" s="17">
        <v>0.57198734018077402</v>
      </c>
      <c r="V548" s="17">
        <v>0.71709276866808802</v>
      </c>
      <c r="W548" s="17"/>
      <c r="X548" s="17">
        <v>0.53069572605941195</v>
      </c>
      <c r="Y548" s="17">
        <v>0.705674322774831</v>
      </c>
    </row>
    <row r="549" spans="2:25" x14ac:dyDescent="0.35">
      <c r="B549" t="s">
        <v>223</v>
      </c>
      <c r="C549" s="17">
        <v>0.292369355569843</v>
      </c>
      <c r="D549" s="17">
        <v>0.35313276643570102</v>
      </c>
      <c r="E549" s="17">
        <v>0.23492171370461101</v>
      </c>
      <c r="F549" s="17"/>
      <c r="G549" s="17">
        <v>0.37106665312808002</v>
      </c>
      <c r="H549" s="17">
        <v>0.40737948300612198</v>
      </c>
      <c r="I549" s="17">
        <v>0.37052834344622798</v>
      </c>
      <c r="J549" s="17">
        <v>0.29692508969140402</v>
      </c>
      <c r="K549" s="17">
        <v>0.24812107829991301</v>
      </c>
      <c r="L549" s="17">
        <v>0.17087476810071001</v>
      </c>
      <c r="M549" s="17"/>
      <c r="N549" s="17">
        <v>0.26661645577980703</v>
      </c>
      <c r="O549" s="17">
        <v>0.25028684438780702</v>
      </c>
      <c r="P549" s="17">
        <v>0.26826607418725401</v>
      </c>
      <c r="Q549" s="17">
        <v>0.30901896836784798</v>
      </c>
      <c r="R549" s="17">
        <v>0.29713295378028898</v>
      </c>
      <c r="S549" s="17">
        <v>0.245448656054474</v>
      </c>
      <c r="T549" s="17">
        <v>0.30729432836208298</v>
      </c>
      <c r="U549" s="17">
        <v>0.35734047677161102</v>
      </c>
      <c r="V549" s="17">
        <v>0.251021478952764</v>
      </c>
      <c r="W549" s="17"/>
      <c r="X549" s="17">
        <v>0.43276481680856699</v>
      </c>
      <c r="Y549" s="17">
        <v>0.214679206931957</v>
      </c>
    </row>
    <row r="550" spans="2:25" x14ac:dyDescent="0.35">
      <c r="B550" t="s">
        <v>224</v>
      </c>
      <c r="C550" s="17">
        <v>6.4290160164712395E-2</v>
      </c>
      <c r="D550" s="17">
        <v>5.29968552775891E-2</v>
      </c>
      <c r="E550" s="17">
        <v>7.5178935437413899E-2</v>
      </c>
      <c r="F550" s="17"/>
      <c r="G550" s="17">
        <v>6.9082596817077097E-2</v>
      </c>
      <c r="H550" s="17">
        <v>4.6937146101995501E-2</v>
      </c>
      <c r="I550" s="17">
        <v>5.0367279143155898E-2</v>
      </c>
      <c r="J550" s="17">
        <v>6.4088275317365703E-2</v>
      </c>
      <c r="K550" s="17">
        <v>6.3582952223950606E-2</v>
      </c>
      <c r="L550" s="17">
        <v>8.2313719985908904E-2</v>
      </c>
      <c r="M550" s="17"/>
      <c r="N550" s="17">
        <v>3.4983436343556197E-2</v>
      </c>
      <c r="O550" s="17">
        <v>7.8314672254619397E-2</v>
      </c>
      <c r="P550" s="17">
        <v>9.1690734273566402E-2</v>
      </c>
      <c r="Q550" s="17">
        <v>3.7996656628287898E-2</v>
      </c>
      <c r="R550" s="17">
        <v>8.2433829076576204E-2</v>
      </c>
      <c r="S550" s="17">
        <v>5.27220269287818E-2</v>
      </c>
      <c r="T550" s="17">
        <v>6.6524167097194498E-2</v>
      </c>
      <c r="U550" s="17">
        <v>7.0672183047614995E-2</v>
      </c>
      <c r="V550" s="17">
        <v>3.1885752379148702E-2</v>
      </c>
      <c r="W550" s="17"/>
      <c r="X550" s="17">
        <v>3.6539457132020899E-2</v>
      </c>
      <c r="Y550" s="17">
        <v>7.9646470293212299E-2</v>
      </c>
    </row>
    <row r="551" spans="2:25" x14ac:dyDescent="0.35">
      <c r="C551" s="17"/>
      <c r="D551" s="17"/>
      <c r="E551" s="17"/>
      <c r="F551" s="17"/>
      <c r="G551" s="17"/>
      <c r="H551" s="17"/>
      <c r="I551" s="17"/>
      <c r="J551" s="17"/>
      <c r="K551" s="17"/>
      <c r="L551" s="17"/>
      <c r="M551" s="17"/>
      <c r="N551" s="17"/>
      <c r="O551" s="17"/>
      <c r="P551" s="17"/>
      <c r="Q551" s="17"/>
      <c r="R551" s="17"/>
      <c r="S551" s="17"/>
      <c r="T551" s="17"/>
      <c r="U551" s="17"/>
      <c r="V551" s="17"/>
      <c r="W551" s="17"/>
      <c r="X551" s="17"/>
      <c r="Y551" s="17"/>
    </row>
    <row r="552" spans="2:25" x14ac:dyDescent="0.35">
      <c r="B552" s="6" t="s">
        <v>247</v>
      </c>
      <c r="C552" s="17"/>
      <c r="D552" s="17"/>
      <c r="E552" s="17"/>
      <c r="F552" s="17"/>
      <c r="G552" s="17"/>
      <c r="H552" s="17"/>
      <c r="I552" s="17"/>
      <c r="J552" s="17"/>
      <c r="K552" s="17"/>
      <c r="L552" s="17"/>
      <c r="M552" s="17"/>
      <c r="N552" s="17"/>
      <c r="O552" s="17"/>
      <c r="P552" s="17"/>
      <c r="Q552" s="17"/>
      <c r="R552" s="17"/>
      <c r="S552" s="17"/>
      <c r="T552" s="17"/>
      <c r="U552" s="17"/>
      <c r="V552" s="17"/>
      <c r="W552" s="17"/>
      <c r="X552" s="17"/>
      <c r="Y552" s="17"/>
    </row>
    <row r="553" spans="2:25" x14ac:dyDescent="0.35">
      <c r="B553" s="24" t="s">
        <v>50</v>
      </c>
      <c r="C553" s="17"/>
      <c r="D553" s="17"/>
      <c r="E553" s="17"/>
      <c r="F553" s="17"/>
      <c r="G553" s="17"/>
      <c r="H553" s="17"/>
      <c r="I553" s="17"/>
      <c r="J553" s="17"/>
      <c r="K553" s="17"/>
      <c r="L553" s="17"/>
      <c r="M553" s="17"/>
      <c r="N553" s="17"/>
      <c r="O553" s="17"/>
      <c r="P553" s="17"/>
      <c r="Q553" s="17"/>
      <c r="R553" s="17"/>
      <c r="S553" s="17"/>
      <c r="T553" s="17"/>
      <c r="U553" s="17"/>
      <c r="V553" s="17"/>
      <c r="W553" s="17"/>
      <c r="X553" s="17"/>
      <c r="Y553" s="17"/>
    </row>
    <row r="554" spans="2:25" x14ac:dyDescent="0.35">
      <c r="B554" t="s">
        <v>222</v>
      </c>
      <c r="C554" s="17">
        <v>0.78454345385366497</v>
      </c>
      <c r="D554" s="17">
        <v>0.76336845282382604</v>
      </c>
      <c r="E554" s="17">
        <v>0.80479753237398599</v>
      </c>
      <c r="F554" s="17"/>
      <c r="G554" s="17">
        <v>0.65620638532352804</v>
      </c>
      <c r="H554" s="17">
        <v>0.72472997040136</v>
      </c>
      <c r="I554" s="17">
        <v>0.75200225617374095</v>
      </c>
      <c r="J554" s="17">
        <v>0.81220369293981998</v>
      </c>
      <c r="K554" s="17">
        <v>0.83138517643455701</v>
      </c>
      <c r="L554" s="17">
        <v>0.83885227174795396</v>
      </c>
      <c r="M554" s="17"/>
      <c r="N554" s="17">
        <v>0.79490455285734196</v>
      </c>
      <c r="O554" s="17">
        <v>0.83358930578538404</v>
      </c>
      <c r="P554" s="17">
        <v>0.75361138293067897</v>
      </c>
      <c r="Q554" s="17">
        <v>0.82801662032031498</v>
      </c>
      <c r="R554" s="17">
        <v>0.77161552171994496</v>
      </c>
      <c r="S554" s="17">
        <v>0.817544205884572</v>
      </c>
      <c r="T554" s="17">
        <v>0.76811736413432796</v>
      </c>
      <c r="U554" s="17">
        <v>0.73266531655298595</v>
      </c>
      <c r="V554" s="17">
        <v>0.84405779325533503</v>
      </c>
      <c r="W554" s="17"/>
      <c r="X554" s="17">
        <v>0.75513392402605195</v>
      </c>
      <c r="Y554" s="17">
        <v>0.80081770320274204</v>
      </c>
    </row>
    <row r="555" spans="2:25" x14ac:dyDescent="0.35">
      <c r="B555" t="s">
        <v>223</v>
      </c>
      <c r="C555" s="17">
        <v>0.13052964871233</v>
      </c>
      <c r="D555" s="17">
        <v>0.170314253890574</v>
      </c>
      <c r="E555" s="17">
        <v>9.2731062024610997E-2</v>
      </c>
      <c r="F555" s="17"/>
      <c r="G555" s="17">
        <v>0.26743888670049598</v>
      </c>
      <c r="H555" s="17">
        <v>0.21348729934087099</v>
      </c>
      <c r="I555" s="17">
        <v>0.17031759537762101</v>
      </c>
      <c r="J555" s="17">
        <v>0.100495316915408</v>
      </c>
      <c r="K555" s="17">
        <v>8.2922956668808098E-2</v>
      </c>
      <c r="L555" s="17">
        <v>5.6807130965704902E-2</v>
      </c>
      <c r="M555" s="17"/>
      <c r="N555" s="17">
        <v>0.16311390821437299</v>
      </c>
      <c r="O555" s="17">
        <v>7.6805104371141894E-2</v>
      </c>
      <c r="P555" s="17">
        <v>0.10965197888646799</v>
      </c>
      <c r="Q555" s="17">
        <v>0.12749419861686601</v>
      </c>
      <c r="R555" s="17">
        <v>0.11259077958801</v>
      </c>
      <c r="S555" s="17">
        <v>0.13434399753675599</v>
      </c>
      <c r="T555" s="17">
        <v>0.14613095396008999</v>
      </c>
      <c r="U555" s="17">
        <v>0.158549614483384</v>
      </c>
      <c r="V555" s="17">
        <v>0.12604725173834599</v>
      </c>
      <c r="W555" s="17"/>
      <c r="X555" s="17">
        <v>0.187246879015281</v>
      </c>
      <c r="Y555" s="17">
        <v>9.9144232020881004E-2</v>
      </c>
    </row>
    <row r="556" spans="2:25" x14ac:dyDescent="0.35">
      <c r="B556" t="s">
        <v>224</v>
      </c>
      <c r="C556" s="17">
        <v>8.4926897434004806E-2</v>
      </c>
      <c r="D556" s="17">
        <v>6.6317293285600099E-2</v>
      </c>
      <c r="E556" s="17">
        <v>0.102471405601403</v>
      </c>
      <c r="F556" s="17"/>
      <c r="G556" s="17">
        <v>7.6354727975976699E-2</v>
      </c>
      <c r="H556" s="17">
        <v>6.1782730257769099E-2</v>
      </c>
      <c r="I556" s="17">
        <v>7.7680148448637604E-2</v>
      </c>
      <c r="J556" s="17">
        <v>8.7300990144772106E-2</v>
      </c>
      <c r="K556" s="17">
        <v>8.5691866896634702E-2</v>
      </c>
      <c r="L556" s="17">
        <v>0.104340597286341</v>
      </c>
      <c r="M556" s="17"/>
      <c r="N556" s="17">
        <v>4.1981538928284899E-2</v>
      </c>
      <c r="O556" s="17">
        <v>8.9605589843473499E-2</v>
      </c>
      <c r="P556" s="17">
        <v>0.136736638182853</v>
      </c>
      <c r="Q556" s="17">
        <v>4.4489181062819398E-2</v>
      </c>
      <c r="R556" s="17">
        <v>0.11579369869204501</v>
      </c>
      <c r="S556" s="17">
        <v>4.8111796578672698E-2</v>
      </c>
      <c r="T556" s="17">
        <v>8.57516819055823E-2</v>
      </c>
      <c r="U556" s="17">
        <v>0.10878506896363099</v>
      </c>
      <c r="V556" s="17">
        <v>2.9894955006319002E-2</v>
      </c>
      <c r="W556" s="17"/>
      <c r="X556" s="17">
        <v>5.76191969586669E-2</v>
      </c>
      <c r="Y556" s="17">
        <v>0.100038064776377</v>
      </c>
    </row>
    <row r="557" spans="2:25" x14ac:dyDescent="0.35">
      <c r="C557" s="17"/>
      <c r="D557" s="17"/>
      <c r="E557" s="17"/>
      <c r="F557" s="17"/>
      <c r="G557" s="17"/>
      <c r="H557" s="17"/>
      <c r="I557" s="17"/>
      <c r="J557" s="17"/>
      <c r="K557" s="17"/>
      <c r="L557" s="17"/>
      <c r="M557" s="17"/>
      <c r="N557" s="17"/>
      <c r="O557" s="17"/>
      <c r="P557" s="17"/>
      <c r="Q557" s="17"/>
      <c r="R557" s="17"/>
      <c r="S557" s="17"/>
      <c r="T557" s="17"/>
      <c r="U557" s="17"/>
      <c r="V557" s="17"/>
      <c r="W557" s="17"/>
      <c r="X557" s="17"/>
      <c r="Y557" s="17"/>
    </row>
    <row r="558" spans="2:25" x14ac:dyDescent="0.35">
      <c r="B558" s="6" t="s">
        <v>256</v>
      </c>
      <c r="C558" s="17"/>
      <c r="D558" s="17"/>
      <c r="E558" s="17"/>
      <c r="F558" s="17"/>
      <c r="G558" s="17"/>
      <c r="H558" s="17"/>
      <c r="I558" s="17"/>
      <c r="J558" s="17"/>
      <c r="K558" s="17"/>
      <c r="L558" s="17"/>
      <c r="M558" s="17"/>
      <c r="N558" s="17"/>
      <c r="O558" s="17"/>
      <c r="P558" s="17"/>
      <c r="Q558" s="17"/>
      <c r="R558" s="17"/>
      <c r="S558" s="17"/>
      <c r="T558" s="17"/>
      <c r="U558" s="17"/>
      <c r="V558" s="17"/>
      <c r="W558" s="17"/>
      <c r="X558" s="17"/>
      <c r="Y558" s="17"/>
    </row>
    <row r="559" spans="2:25" x14ac:dyDescent="0.35">
      <c r="B559" s="24" t="s">
        <v>50</v>
      </c>
      <c r="C559" s="17"/>
      <c r="D559" s="17"/>
      <c r="E559" s="17"/>
      <c r="F559" s="17"/>
      <c r="G559" s="17"/>
      <c r="H559" s="17"/>
      <c r="I559" s="17"/>
      <c r="J559" s="17"/>
      <c r="K559" s="17"/>
      <c r="L559" s="17"/>
      <c r="M559" s="17"/>
      <c r="N559" s="17"/>
      <c r="O559" s="17"/>
      <c r="P559" s="17"/>
      <c r="Q559" s="17"/>
      <c r="R559" s="17"/>
      <c r="S559" s="17"/>
      <c r="T559" s="17"/>
      <c r="U559" s="17"/>
      <c r="V559" s="17"/>
      <c r="W559" s="17"/>
      <c r="X559" s="17"/>
      <c r="Y559" s="17"/>
    </row>
    <row r="560" spans="2:25" x14ac:dyDescent="0.35">
      <c r="B560" t="s">
        <v>248</v>
      </c>
      <c r="C560" s="17">
        <v>0.62337091939946998</v>
      </c>
      <c r="D560" s="17">
        <v>0.64153808162916504</v>
      </c>
      <c r="E560" s="17">
        <v>0.60595427545348501</v>
      </c>
      <c r="F560" s="17"/>
      <c r="G560" s="17">
        <v>0.63272404675312999</v>
      </c>
      <c r="H560" s="17">
        <v>0.60888520524885403</v>
      </c>
      <c r="I560" s="17">
        <v>0.59395900066035701</v>
      </c>
      <c r="J560" s="17">
        <v>0.636716074725166</v>
      </c>
      <c r="K560" s="17">
        <v>0.65463320695570903</v>
      </c>
      <c r="L560" s="17">
        <v>0.61763502092205602</v>
      </c>
      <c r="M560" s="17"/>
      <c r="N560" s="17">
        <v>0.69370069433203696</v>
      </c>
      <c r="O560" s="17">
        <v>0.75551141149669998</v>
      </c>
      <c r="P560" s="17">
        <v>0.51930871882913299</v>
      </c>
      <c r="Q560" s="17">
        <v>0.75394848096160505</v>
      </c>
      <c r="R560" s="17">
        <v>0.49331228823942802</v>
      </c>
      <c r="S560" s="17">
        <v>0.64653523871905405</v>
      </c>
      <c r="T560" s="17">
        <v>0.75339380438535797</v>
      </c>
      <c r="U560" s="17">
        <v>0.510350669383415</v>
      </c>
      <c r="V560" s="17">
        <v>0.67996351624752904</v>
      </c>
      <c r="W560" s="17"/>
      <c r="X560" s="17">
        <v>0.64603542329318997</v>
      </c>
      <c r="Y560" s="17">
        <v>0.61082914161854096</v>
      </c>
    </row>
    <row r="561" spans="2:25" x14ac:dyDescent="0.35">
      <c r="B561" t="s">
        <v>249</v>
      </c>
      <c r="C561" s="17">
        <v>0.59441103212734703</v>
      </c>
      <c r="D561" s="17">
        <v>0.62636531571157505</v>
      </c>
      <c r="E561" s="17">
        <v>0.56335372226969804</v>
      </c>
      <c r="F561" s="17"/>
      <c r="G561" s="17">
        <v>0.71332579550974895</v>
      </c>
      <c r="H561" s="17">
        <v>0.682357703278614</v>
      </c>
      <c r="I561" s="17">
        <v>0.60897267599003102</v>
      </c>
      <c r="J561" s="17">
        <v>0.60083423932690405</v>
      </c>
      <c r="K561" s="17">
        <v>0.558189839575855</v>
      </c>
      <c r="L561" s="17">
        <v>0.50820577542568002</v>
      </c>
      <c r="M561" s="17"/>
      <c r="N561" s="17">
        <v>0.502248066506923</v>
      </c>
      <c r="O561" s="17">
        <v>0.67876967686009304</v>
      </c>
      <c r="P561" s="17">
        <v>0.57281701516980899</v>
      </c>
      <c r="Q561" s="17">
        <v>0.57289264383008898</v>
      </c>
      <c r="R561" s="17">
        <v>0.53590565254318201</v>
      </c>
      <c r="S561" s="17">
        <v>0.58355658343794603</v>
      </c>
      <c r="T561" s="17">
        <v>0.72928474857333103</v>
      </c>
      <c r="U561" s="17">
        <v>0.57845963312158699</v>
      </c>
      <c r="V561" s="17">
        <v>0.58328223639745103</v>
      </c>
      <c r="W561" s="17"/>
      <c r="X561" s="17">
        <v>0.63609378462978905</v>
      </c>
      <c r="Y561" s="17">
        <v>0.57134519218509605</v>
      </c>
    </row>
    <row r="562" spans="2:25" x14ac:dyDescent="0.35">
      <c r="B562" t="s">
        <v>250</v>
      </c>
      <c r="C562" s="17">
        <v>0.40493528467993101</v>
      </c>
      <c r="D562" s="17">
        <v>0.34314038131350499</v>
      </c>
      <c r="E562" s="17">
        <v>0.46308520253493402</v>
      </c>
      <c r="F562" s="17"/>
      <c r="G562" s="17">
        <v>0.38987291216725201</v>
      </c>
      <c r="H562" s="17">
        <v>0.34277911185464999</v>
      </c>
      <c r="I562" s="17">
        <v>0.331146502214196</v>
      </c>
      <c r="J562" s="17">
        <v>0.36338353398468898</v>
      </c>
      <c r="K562" s="17">
        <v>0.436324961362268</v>
      </c>
      <c r="L562" s="17">
        <v>0.50240128455867294</v>
      </c>
      <c r="M562" s="17"/>
      <c r="N562" s="17">
        <v>0.33824803450851598</v>
      </c>
      <c r="O562" s="17">
        <v>0.42084174882488901</v>
      </c>
      <c r="P562" s="17">
        <v>0.344729639466061</v>
      </c>
      <c r="Q562" s="17">
        <v>0.45986103024993102</v>
      </c>
      <c r="R562" s="17">
        <v>0.42096984789582298</v>
      </c>
      <c r="S562" s="17">
        <v>0.36727759060301501</v>
      </c>
      <c r="T562" s="17">
        <v>0.45036438151013197</v>
      </c>
      <c r="U562" s="17">
        <v>0.38105037157161198</v>
      </c>
      <c r="V562" s="17">
        <v>0.44499785505640999</v>
      </c>
      <c r="W562" s="17"/>
      <c r="X562" s="17">
        <v>0.35415838660983501</v>
      </c>
      <c r="Y562" s="17">
        <v>0.43303352036098902</v>
      </c>
    </row>
    <row r="563" spans="2:25" x14ac:dyDescent="0.35">
      <c r="B563" t="s">
        <v>251</v>
      </c>
      <c r="C563" s="17">
        <v>0.16864878909339601</v>
      </c>
      <c r="D563" s="17">
        <v>0.17110384999217701</v>
      </c>
      <c r="E563" s="17">
        <v>0.16614106409691901</v>
      </c>
      <c r="F563" s="17"/>
      <c r="G563" s="17">
        <v>0.32242662446342502</v>
      </c>
      <c r="H563" s="17">
        <v>0.30841092585148</v>
      </c>
      <c r="I563" s="17">
        <v>0.25179035677669898</v>
      </c>
      <c r="J563" s="17">
        <v>0.14102818126778999</v>
      </c>
      <c r="K563" s="17">
        <v>8.1731583726738596E-2</v>
      </c>
      <c r="L563" s="17">
        <v>5.1437504246216598E-2</v>
      </c>
      <c r="M563" s="17"/>
      <c r="N563" s="17">
        <v>0.244407349601414</v>
      </c>
      <c r="O563" s="17">
        <v>0.24531999557308401</v>
      </c>
      <c r="P563" s="17">
        <v>0.14493165334153399</v>
      </c>
      <c r="Q563" s="17">
        <v>0.136347190151755</v>
      </c>
      <c r="R563" s="17">
        <v>0.202315227051034</v>
      </c>
      <c r="S563" s="17">
        <v>0.129270016119367</v>
      </c>
      <c r="T563" s="17">
        <v>0.17542042576790901</v>
      </c>
      <c r="U563" s="17">
        <v>0.16934086086787301</v>
      </c>
      <c r="V563" s="17">
        <v>0.22612756986956001</v>
      </c>
      <c r="W563" s="17"/>
      <c r="X563" s="17">
        <v>0.20491576277797999</v>
      </c>
      <c r="Y563" s="17">
        <v>0.14857985986062899</v>
      </c>
    </row>
    <row r="564" spans="2:25" x14ac:dyDescent="0.35">
      <c r="B564" t="s">
        <v>252</v>
      </c>
      <c r="C564" s="17">
        <v>0.125961168782599</v>
      </c>
      <c r="D564" s="17">
        <v>0.15152888033340001</v>
      </c>
      <c r="E564" s="17">
        <v>0.10239573231173001</v>
      </c>
      <c r="F564" s="17"/>
      <c r="G564" s="17">
        <v>0.15488736944661899</v>
      </c>
      <c r="H564" s="17">
        <v>0.190963516538424</v>
      </c>
      <c r="I564" s="17">
        <v>0.14712851306232799</v>
      </c>
      <c r="J564" s="17">
        <v>0.11396387867815</v>
      </c>
      <c r="K564" s="17">
        <v>9.9689981070508804E-2</v>
      </c>
      <c r="L564" s="17">
        <v>8.8628654289544098E-2</v>
      </c>
      <c r="M564" s="17"/>
      <c r="N564" s="17">
        <v>0.14101229037944399</v>
      </c>
      <c r="O564" s="17">
        <v>0.10137251002356699</v>
      </c>
      <c r="P564" s="17">
        <v>9.1655815709221197E-2</v>
      </c>
      <c r="Q564" s="17">
        <v>8.2391761301198504E-2</v>
      </c>
      <c r="R564" s="17">
        <v>0.119095629294291</v>
      </c>
      <c r="S564" s="17">
        <v>0.115078884415907</v>
      </c>
      <c r="T564" s="17">
        <v>0.154978569609277</v>
      </c>
      <c r="U564" s="17">
        <v>0.18847636346461299</v>
      </c>
      <c r="V564" s="17">
        <v>0.13936053461794301</v>
      </c>
      <c r="W564" s="17"/>
      <c r="X564" s="17">
        <v>0.17852589278448899</v>
      </c>
      <c r="Y564" s="17">
        <v>9.6873610076748704E-2</v>
      </c>
    </row>
    <row r="565" spans="2:25" x14ac:dyDescent="0.35">
      <c r="B565" t="s">
        <v>253</v>
      </c>
      <c r="C565" s="17">
        <v>9.5708533441942106E-2</v>
      </c>
      <c r="D565" s="17">
        <v>0.114067520167443</v>
      </c>
      <c r="E565" s="17">
        <v>7.8808341584778299E-2</v>
      </c>
      <c r="F565" s="17"/>
      <c r="G565" s="17">
        <v>6.5244936410043794E-2</v>
      </c>
      <c r="H565" s="17">
        <v>8.6173071071199106E-2</v>
      </c>
      <c r="I565" s="17">
        <v>9.1559958734770394E-2</v>
      </c>
      <c r="J565" s="17">
        <v>9.0934488222968499E-2</v>
      </c>
      <c r="K565" s="17">
        <v>0.119467529030218</v>
      </c>
      <c r="L565" s="17">
        <v>0.10297513341181901</v>
      </c>
      <c r="M565" s="17"/>
      <c r="N565" s="17">
        <v>0.13760924568340099</v>
      </c>
      <c r="O565" s="17">
        <v>0.139507605899306</v>
      </c>
      <c r="P565" s="17">
        <v>6.8985823788574999E-2</v>
      </c>
      <c r="Q565" s="17">
        <v>0.102049334260104</v>
      </c>
      <c r="R565" s="17">
        <v>8.2876891142674894E-2</v>
      </c>
      <c r="S565" s="17">
        <v>0.11134265856556801</v>
      </c>
      <c r="T565" s="17">
        <v>6.2428404863367398E-2</v>
      </c>
      <c r="U565" s="17">
        <v>0.10951157097349599</v>
      </c>
      <c r="V565" s="17">
        <v>0.144339104223878</v>
      </c>
      <c r="W565" s="17"/>
      <c r="X565" s="17">
        <v>0.14084836970693301</v>
      </c>
      <c r="Y565" s="17">
        <v>7.0729659068262105E-2</v>
      </c>
    </row>
    <row r="566" spans="2:25" x14ac:dyDescent="0.35">
      <c r="B566" t="s">
        <v>254</v>
      </c>
      <c r="C566" s="17">
        <v>9.3930977875813795E-2</v>
      </c>
      <c r="D566" s="17">
        <v>0.122749944318347</v>
      </c>
      <c r="E566" s="17">
        <v>6.7176642166333095E-2</v>
      </c>
      <c r="F566" s="17"/>
      <c r="G566" s="17">
        <v>0.16138076364018999</v>
      </c>
      <c r="H566" s="17">
        <v>0.151143840922776</v>
      </c>
      <c r="I566" s="17">
        <v>0.138568700673839</v>
      </c>
      <c r="J566" s="17">
        <v>7.3207340047983196E-2</v>
      </c>
      <c r="K566" s="17">
        <v>5.3207608116595299E-2</v>
      </c>
      <c r="L566" s="17">
        <v>4.72940050588255E-2</v>
      </c>
      <c r="M566" s="17"/>
      <c r="N566" s="17">
        <v>0.100061910553757</v>
      </c>
      <c r="O566" s="17">
        <v>0.1069589075767</v>
      </c>
      <c r="P566" s="17">
        <v>9.0622899695153594E-2</v>
      </c>
      <c r="Q566" s="17">
        <v>8.3760533978475799E-2</v>
      </c>
      <c r="R566" s="17">
        <v>8.4048059717894599E-2</v>
      </c>
      <c r="S566" s="17">
        <v>6.0093784081053397E-2</v>
      </c>
      <c r="T566" s="17">
        <v>9.7302049422511194E-2</v>
      </c>
      <c r="U566" s="17">
        <v>0.12535869150374801</v>
      </c>
      <c r="V566" s="17">
        <v>0.139679075371968</v>
      </c>
      <c r="W566" s="17"/>
      <c r="X566" s="17">
        <v>0.217072509794699</v>
      </c>
      <c r="Y566" s="17">
        <v>2.5788576163781399E-2</v>
      </c>
    </row>
    <row r="567" spans="2:25" x14ac:dyDescent="0.35">
      <c r="B567" t="s">
        <v>255</v>
      </c>
      <c r="C567" s="17">
        <v>5.4054074559250001E-2</v>
      </c>
      <c r="D567" s="17">
        <v>6.4650243448366299E-2</v>
      </c>
      <c r="E567" s="17">
        <v>4.3986004309874802E-2</v>
      </c>
      <c r="F567" s="17"/>
      <c r="G567" s="17">
        <v>7.3886219801354402E-2</v>
      </c>
      <c r="H567" s="17">
        <v>8.1745208874260206E-2</v>
      </c>
      <c r="I567" s="17">
        <v>7.44016761007711E-2</v>
      </c>
      <c r="J567" s="17">
        <v>4.8642682274299603E-2</v>
      </c>
      <c r="K567" s="17">
        <v>3.6398720777304397E-2</v>
      </c>
      <c r="L567" s="17">
        <v>3.2547812369952897E-2</v>
      </c>
      <c r="M567" s="17"/>
      <c r="N567" s="17">
        <v>7.4180621293726504E-2</v>
      </c>
      <c r="O567" s="17">
        <v>3.4800391910722699E-2</v>
      </c>
      <c r="P567" s="17">
        <v>2.5577525157308802E-2</v>
      </c>
      <c r="Q567" s="17">
        <v>5.7842524069367601E-2</v>
      </c>
      <c r="R567" s="17">
        <v>6.2022749982190102E-2</v>
      </c>
      <c r="S567" s="17">
        <v>4.0434155706469799E-2</v>
      </c>
      <c r="T567" s="17">
        <v>6.08646848969168E-2</v>
      </c>
      <c r="U567" s="17">
        <v>7.9675313288715299E-2</v>
      </c>
      <c r="V567" s="17">
        <v>4.7778752684096197E-2</v>
      </c>
      <c r="W567" s="17"/>
      <c r="X567" s="17">
        <v>7.1906569991165403E-2</v>
      </c>
      <c r="Y567" s="17">
        <v>4.4175101183434498E-2</v>
      </c>
    </row>
    <row r="568" spans="2:25" x14ac:dyDescent="0.35">
      <c r="B568" t="s">
        <v>68</v>
      </c>
      <c r="C568" s="17">
        <v>5.4380607484300902E-2</v>
      </c>
      <c r="D568" s="17">
        <v>4.6700351706856401E-2</v>
      </c>
      <c r="E568" s="17">
        <v>6.18284039868712E-2</v>
      </c>
      <c r="F568" s="17"/>
      <c r="G568" s="17">
        <v>1.8518415525618299E-2</v>
      </c>
      <c r="H568" s="17">
        <v>1.8477516339775499E-2</v>
      </c>
      <c r="I568" s="17">
        <v>3.5773642920098297E-2</v>
      </c>
      <c r="J568" s="17">
        <v>5.0105218809813799E-2</v>
      </c>
      <c r="K568" s="17">
        <v>6.9353756454511403E-2</v>
      </c>
      <c r="L568" s="17">
        <v>9.3982149292533498E-2</v>
      </c>
      <c r="M568" s="17"/>
      <c r="N568" s="17">
        <v>7.1551302246333395E-2</v>
      </c>
      <c r="O568" s="17">
        <v>9.0167796845896195E-2</v>
      </c>
      <c r="P568" s="17">
        <v>6.2014389276413499E-2</v>
      </c>
      <c r="Q568" s="17">
        <v>4.7286685596009799E-2</v>
      </c>
      <c r="R568" s="17">
        <v>7.1840111974379506E-2</v>
      </c>
      <c r="S568" s="17">
        <v>6.2997012771736402E-2</v>
      </c>
      <c r="T568" s="17">
        <v>2.91727679778803E-2</v>
      </c>
      <c r="U568" s="17">
        <v>4.5498227614066897E-2</v>
      </c>
      <c r="V568" s="17">
        <v>4.6534007472839901E-2</v>
      </c>
      <c r="W568" s="17"/>
      <c r="X568" s="17">
        <v>5.5655866930272802E-2</v>
      </c>
      <c r="Y568" s="17">
        <v>5.3674921595061501E-2</v>
      </c>
    </row>
    <row r="569" spans="2:25" x14ac:dyDescent="0.35">
      <c r="B569" t="s">
        <v>69</v>
      </c>
      <c r="C569" s="17">
        <v>3.4260916393038798E-2</v>
      </c>
      <c r="D569" s="17">
        <v>3.17300244699859E-2</v>
      </c>
      <c r="E569" s="17">
        <v>3.6780591553812102E-2</v>
      </c>
      <c r="F569" s="17"/>
      <c r="G569" s="17">
        <v>3.0051236260854701E-2</v>
      </c>
      <c r="H569" s="17">
        <v>3.5587314442981598E-2</v>
      </c>
      <c r="I569" s="17">
        <v>3.9911263283597197E-2</v>
      </c>
      <c r="J569" s="17">
        <v>3.93448859020014E-2</v>
      </c>
      <c r="K569" s="17">
        <v>2.9147699765273899E-2</v>
      </c>
      <c r="L569" s="17">
        <v>3.13093902276829E-2</v>
      </c>
      <c r="M569" s="17"/>
      <c r="N569" s="17">
        <v>1.6970843280640899E-2</v>
      </c>
      <c r="O569" s="17">
        <v>3.5613130525790501E-2</v>
      </c>
      <c r="P569" s="17">
        <v>4.2209443929738702E-2</v>
      </c>
      <c r="Q569" s="17">
        <v>4.25330649736059E-2</v>
      </c>
      <c r="R569" s="17">
        <v>3.04708436342256E-2</v>
      </c>
      <c r="S569" s="17">
        <v>4.6260244617850797E-2</v>
      </c>
      <c r="T569" s="17">
        <v>1.76018492099769E-2</v>
      </c>
      <c r="U569" s="17">
        <v>2.1438804942967501E-2</v>
      </c>
      <c r="V569" s="17">
        <v>5.5234042024045797E-2</v>
      </c>
      <c r="W569" s="17"/>
      <c r="X569" s="17">
        <v>2.4208640524649501E-2</v>
      </c>
      <c r="Y569" s="17">
        <v>3.98235093677239E-2</v>
      </c>
    </row>
    <row r="570" spans="2:25" x14ac:dyDescent="0.35">
      <c r="C570" s="17"/>
      <c r="D570" s="17"/>
      <c r="E570" s="17"/>
      <c r="F570" s="17"/>
      <c r="G570" s="17"/>
      <c r="H570" s="17"/>
      <c r="I570" s="17"/>
      <c r="J570" s="17"/>
      <c r="K570" s="17"/>
      <c r="L570" s="17"/>
      <c r="M570" s="17"/>
      <c r="N570" s="17"/>
      <c r="O570" s="17"/>
      <c r="P570" s="17"/>
      <c r="Q570" s="17"/>
      <c r="R570" s="17"/>
      <c r="S570" s="17"/>
      <c r="T570" s="17"/>
      <c r="U570" s="17"/>
      <c r="V570" s="17"/>
      <c r="W570" s="17"/>
      <c r="X570" s="17"/>
      <c r="Y570" s="17"/>
    </row>
    <row r="571" spans="2:25" x14ac:dyDescent="0.35">
      <c r="B571" s="6" t="s">
        <v>267</v>
      </c>
      <c r="C571" s="17"/>
      <c r="D571" s="17"/>
      <c r="E571" s="17"/>
      <c r="F571" s="17"/>
      <c r="G571" s="17"/>
      <c r="H571" s="17"/>
      <c r="I571" s="17"/>
      <c r="J571" s="17"/>
      <c r="K571" s="17"/>
      <c r="L571" s="17"/>
      <c r="M571" s="17"/>
      <c r="N571" s="17"/>
      <c r="O571" s="17"/>
      <c r="P571" s="17"/>
      <c r="Q571" s="17"/>
      <c r="R571" s="17"/>
      <c r="S571" s="17"/>
      <c r="T571" s="17"/>
      <c r="U571" s="17"/>
      <c r="V571" s="17"/>
      <c r="W571" s="17"/>
      <c r="X571" s="17"/>
      <c r="Y571" s="17"/>
    </row>
    <row r="572" spans="2:25" x14ac:dyDescent="0.35">
      <c r="B572" s="24" t="s">
        <v>50</v>
      </c>
      <c r="C572" s="17"/>
      <c r="D572" s="17"/>
      <c r="E572" s="17"/>
      <c r="F572" s="17"/>
      <c r="G572" s="17"/>
      <c r="H572" s="17"/>
      <c r="I572" s="17"/>
      <c r="J572" s="17"/>
      <c r="K572" s="17"/>
      <c r="L572" s="17"/>
      <c r="M572" s="17"/>
      <c r="N572" s="17"/>
      <c r="O572" s="17"/>
      <c r="P572" s="17"/>
      <c r="Q572" s="17"/>
      <c r="R572" s="17"/>
      <c r="S572" s="17"/>
      <c r="T572" s="17"/>
      <c r="U572" s="17"/>
      <c r="V572" s="17"/>
      <c r="W572" s="17"/>
      <c r="X572" s="17"/>
      <c r="Y572" s="17"/>
    </row>
    <row r="573" spans="2:25" x14ac:dyDescent="0.35">
      <c r="B573" t="s">
        <v>257</v>
      </c>
      <c r="C573" s="17">
        <v>0.66516170483553805</v>
      </c>
      <c r="D573" s="17">
        <v>0.652753567751582</v>
      </c>
      <c r="E573" s="17">
        <v>0.67668782824562401</v>
      </c>
      <c r="F573" s="17"/>
      <c r="G573" s="17">
        <v>0.65457344312993704</v>
      </c>
      <c r="H573" s="17">
        <v>0.60735587916640998</v>
      </c>
      <c r="I573" s="17">
        <v>0.62594419998550699</v>
      </c>
      <c r="J573" s="17">
        <v>0.65944208040445496</v>
      </c>
      <c r="K573" s="17">
        <v>0.70181676826915995</v>
      </c>
      <c r="L573" s="17">
        <v>0.70825987299152005</v>
      </c>
      <c r="M573" s="17"/>
      <c r="N573" s="17">
        <v>0.60743803565332699</v>
      </c>
      <c r="O573" s="17">
        <v>0.82599496079967605</v>
      </c>
      <c r="P573" s="17">
        <v>0.68893401404485299</v>
      </c>
      <c r="Q573" s="17">
        <v>0.61357218107281897</v>
      </c>
      <c r="R573" s="17">
        <v>0.69886860654040095</v>
      </c>
      <c r="S573" s="17">
        <v>0.61382018122771698</v>
      </c>
      <c r="T573" s="17">
        <v>0.65230436817784399</v>
      </c>
      <c r="U573" s="17">
        <v>0.68752526045835205</v>
      </c>
      <c r="V573" s="17">
        <v>0.70425248393506801</v>
      </c>
      <c r="W573" s="17"/>
      <c r="X573" s="17">
        <v>0.69675729651288598</v>
      </c>
      <c r="Y573" s="17">
        <v>0.64767776203527005</v>
      </c>
    </row>
    <row r="574" spans="2:25" x14ac:dyDescent="0.35">
      <c r="B574" t="s">
        <v>258</v>
      </c>
      <c r="C574" s="17">
        <v>0.66296321172178896</v>
      </c>
      <c r="D574" s="17">
        <v>0.66985511947291698</v>
      </c>
      <c r="E574" s="17">
        <v>0.65629399512444397</v>
      </c>
      <c r="F574" s="17"/>
      <c r="G574" s="17">
        <v>0.69475816417113201</v>
      </c>
      <c r="H574" s="17">
        <v>0.66357464194048899</v>
      </c>
      <c r="I574" s="17">
        <v>0.64355631277818004</v>
      </c>
      <c r="J574" s="17">
        <v>0.65653921240429003</v>
      </c>
      <c r="K574" s="17">
        <v>0.66118326124233195</v>
      </c>
      <c r="L574" s="17">
        <v>0.66877890546963203</v>
      </c>
      <c r="M574" s="17"/>
      <c r="N574" s="17">
        <v>0.72334358540287302</v>
      </c>
      <c r="O574" s="17">
        <v>0.871027877917955</v>
      </c>
      <c r="P574" s="17">
        <v>0.62359736077229899</v>
      </c>
      <c r="Q574" s="17">
        <v>0.67040548873917905</v>
      </c>
      <c r="R574" s="17">
        <v>0.68736720101786697</v>
      </c>
      <c r="S574" s="17">
        <v>0.66994854967727802</v>
      </c>
      <c r="T574" s="17">
        <v>0.63462526883638104</v>
      </c>
      <c r="U574" s="17">
        <v>0.65215652284423598</v>
      </c>
      <c r="V574" s="17">
        <v>0.62763408993174497</v>
      </c>
      <c r="W574" s="17"/>
      <c r="X574" s="17">
        <v>0.72152633067234795</v>
      </c>
      <c r="Y574" s="17">
        <v>0.630556342042214</v>
      </c>
    </row>
    <row r="575" spans="2:25" x14ac:dyDescent="0.35">
      <c r="B575" t="s">
        <v>259</v>
      </c>
      <c r="C575" s="17">
        <v>0.63260768246062105</v>
      </c>
      <c r="D575" s="17">
        <v>0.61330916854022399</v>
      </c>
      <c r="E575" s="17">
        <v>0.65051239038792197</v>
      </c>
      <c r="F575" s="17"/>
      <c r="G575" s="17">
        <v>0.62465360555018701</v>
      </c>
      <c r="H575" s="17">
        <v>0.63715587500677395</v>
      </c>
      <c r="I575" s="17">
        <v>0.63191262200289899</v>
      </c>
      <c r="J575" s="17">
        <v>0.61310100709363802</v>
      </c>
      <c r="K575" s="17">
        <v>0.64602584595668</v>
      </c>
      <c r="L575" s="17">
        <v>0.63781892362806702</v>
      </c>
      <c r="M575" s="17"/>
      <c r="N575" s="17">
        <v>0.62119082827549399</v>
      </c>
      <c r="O575" s="17">
        <v>0.81419592763128001</v>
      </c>
      <c r="P575" s="17">
        <v>0.72752508755594403</v>
      </c>
      <c r="Q575" s="17">
        <v>0.65662123495616698</v>
      </c>
      <c r="R575" s="17">
        <v>0.52499831584380496</v>
      </c>
      <c r="S575" s="17">
        <v>0.58925853128484895</v>
      </c>
      <c r="T575" s="17">
        <v>0.48910913277999502</v>
      </c>
      <c r="U575" s="17">
        <v>0.72709837506561803</v>
      </c>
      <c r="V575" s="17">
        <v>0.75061441808260598</v>
      </c>
      <c r="W575" s="17"/>
      <c r="X575" s="17">
        <v>0.69352931117521799</v>
      </c>
      <c r="Y575" s="17">
        <v>0.598895692426618</v>
      </c>
    </row>
    <row r="576" spans="2:25" x14ac:dyDescent="0.35">
      <c r="B576" t="s">
        <v>260</v>
      </c>
      <c r="C576" s="17">
        <v>0.62223068054614605</v>
      </c>
      <c r="D576" s="17">
        <v>0.60563029862955597</v>
      </c>
      <c r="E576" s="17">
        <v>0.638084981637841</v>
      </c>
      <c r="F576" s="17"/>
      <c r="G576" s="17">
        <v>0.66680599073201796</v>
      </c>
      <c r="H576" s="17">
        <v>0.58810243916459104</v>
      </c>
      <c r="I576" s="17">
        <v>0.597660272084933</v>
      </c>
      <c r="J576" s="17">
        <v>0.63096801891419896</v>
      </c>
      <c r="K576" s="17">
        <v>0.636871548425054</v>
      </c>
      <c r="L576" s="17">
        <v>0.62599873159012998</v>
      </c>
      <c r="M576" s="17"/>
      <c r="N576" s="17">
        <v>0.55448436137171098</v>
      </c>
      <c r="O576" s="17">
        <v>0.69382965894799897</v>
      </c>
      <c r="P576" s="17">
        <v>0.64886886203694305</v>
      </c>
      <c r="Q576" s="17">
        <v>0.57744076950804901</v>
      </c>
      <c r="R576" s="17">
        <v>0.69136232632101402</v>
      </c>
      <c r="S576" s="17">
        <v>0.57756450859587705</v>
      </c>
      <c r="T576" s="17">
        <v>0.62782391181673503</v>
      </c>
      <c r="U576" s="17">
        <v>0.61636821407821196</v>
      </c>
      <c r="V576" s="17">
        <v>0.606607474598575</v>
      </c>
      <c r="W576" s="17"/>
      <c r="X576" s="17">
        <v>0.67405109318513301</v>
      </c>
      <c r="Y576" s="17">
        <v>0.59355499883337504</v>
      </c>
    </row>
    <row r="577" spans="2:25" x14ac:dyDescent="0.35">
      <c r="B577" t="s">
        <v>261</v>
      </c>
      <c r="C577" s="17">
        <v>0.51303051076892203</v>
      </c>
      <c r="D577" s="17">
        <v>0.50018958721740503</v>
      </c>
      <c r="E577" s="17">
        <v>0.52549108307375603</v>
      </c>
      <c r="F577" s="17"/>
      <c r="G577" s="17">
        <v>0.54367621122806198</v>
      </c>
      <c r="H577" s="17">
        <v>0.49920333032332698</v>
      </c>
      <c r="I577" s="17">
        <v>0.53336275477823103</v>
      </c>
      <c r="J577" s="17">
        <v>0.49409445683539199</v>
      </c>
      <c r="K577" s="17">
        <v>0.50505757815669505</v>
      </c>
      <c r="L577" s="17">
        <v>0.51495699610863199</v>
      </c>
      <c r="M577" s="17"/>
      <c r="N577" s="17">
        <v>0.46691977968820497</v>
      </c>
      <c r="O577" s="17">
        <v>0.50718895429587796</v>
      </c>
      <c r="P577" s="17">
        <v>0.37915977959535602</v>
      </c>
      <c r="Q577" s="17">
        <v>0.54304927191282404</v>
      </c>
      <c r="R577" s="17">
        <v>0.57289099483943395</v>
      </c>
      <c r="S577" s="17">
        <v>0.412550370238151</v>
      </c>
      <c r="T577" s="17">
        <v>0.591317014390639</v>
      </c>
      <c r="U577" s="17">
        <v>0.59201689107528099</v>
      </c>
      <c r="V577" s="17">
        <v>0.50702222090872395</v>
      </c>
      <c r="W577" s="17"/>
      <c r="X577" s="17">
        <v>0.59124376446281002</v>
      </c>
      <c r="Y577" s="17">
        <v>0.46974991429295199</v>
      </c>
    </row>
    <row r="578" spans="2:25" x14ac:dyDescent="0.35">
      <c r="B578" t="s">
        <v>262</v>
      </c>
      <c r="C578" s="17">
        <v>0.50983265691516799</v>
      </c>
      <c r="D578" s="17">
        <v>0.48698131585481802</v>
      </c>
      <c r="E578" s="17">
        <v>0.53142833758337904</v>
      </c>
      <c r="F578" s="17"/>
      <c r="G578" s="17">
        <v>0.53201708411554405</v>
      </c>
      <c r="H578" s="17">
        <v>0.47348360064740302</v>
      </c>
      <c r="I578" s="17">
        <v>0.48546456806974903</v>
      </c>
      <c r="J578" s="17">
        <v>0.49438427680643099</v>
      </c>
      <c r="K578" s="17">
        <v>0.53771295242842099</v>
      </c>
      <c r="L578" s="17">
        <v>0.53093115007936298</v>
      </c>
      <c r="M578" s="17"/>
      <c r="N578" s="17">
        <v>0.27479518788666901</v>
      </c>
      <c r="O578" s="17">
        <v>0.26012486093704401</v>
      </c>
      <c r="P578" s="17">
        <v>0.45689037863103499</v>
      </c>
      <c r="Q578" s="17">
        <v>0.51250567997887397</v>
      </c>
      <c r="R578" s="17">
        <v>0.54895440581202604</v>
      </c>
      <c r="S578" s="17">
        <v>0.54199205004980699</v>
      </c>
      <c r="T578" s="17">
        <v>0.55625728984707801</v>
      </c>
      <c r="U578" s="17">
        <v>0.58296766014161605</v>
      </c>
      <c r="V578" s="17">
        <v>0.40421235609077999</v>
      </c>
      <c r="W578" s="17"/>
      <c r="X578" s="17">
        <v>0.56307677659951805</v>
      </c>
      <c r="Y578" s="17">
        <v>0.480369143380803</v>
      </c>
    </row>
    <row r="579" spans="2:25" x14ac:dyDescent="0.35">
      <c r="B579" t="s">
        <v>263</v>
      </c>
      <c r="C579" s="17">
        <v>0.424720648945073</v>
      </c>
      <c r="D579" s="17">
        <v>0.409229340868489</v>
      </c>
      <c r="E579" s="17">
        <v>0.439091406229144</v>
      </c>
      <c r="F579" s="17"/>
      <c r="G579" s="17">
        <v>0.54500797651311705</v>
      </c>
      <c r="H579" s="17">
        <v>0.45014723199513301</v>
      </c>
      <c r="I579" s="17">
        <v>0.45648795639899298</v>
      </c>
      <c r="J579" s="17">
        <v>0.42558807512788299</v>
      </c>
      <c r="K579" s="17">
        <v>0.39571623891957702</v>
      </c>
      <c r="L579" s="17">
        <v>0.36302524296855498</v>
      </c>
      <c r="M579" s="17"/>
      <c r="N579" s="17">
        <v>0.66829004707239703</v>
      </c>
      <c r="O579" s="17">
        <v>0.68269843566236998</v>
      </c>
      <c r="P579" s="17">
        <v>0.36774318861876598</v>
      </c>
      <c r="Q579" s="17">
        <v>0.38583802684768498</v>
      </c>
      <c r="R579" s="17">
        <v>0.48208983475117001</v>
      </c>
      <c r="S579" s="17">
        <v>0.35256420977319097</v>
      </c>
      <c r="T579" s="17">
        <v>0.40400260103477098</v>
      </c>
      <c r="U579" s="17">
        <v>0.457191150896192</v>
      </c>
      <c r="V579" s="17">
        <v>0.41694613334256297</v>
      </c>
      <c r="W579" s="17"/>
      <c r="X579" s="17">
        <v>0.45951841476723498</v>
      </c>
      <c r="Y579" s="17">
        <v>0.40546473016295997</v>
      </c>
    </row>
    <row r="580" spans="2:25" x14ac:dyDescent="0.35">
      <c r="B580" t="s">
        <v>264</v>
      </c>
      <c r="C580" s="17">
        <v>0.33936848375622902</v>
      </c>
      <c r="D580" s="17">
        <v>0.34228159975467598</v>
      </c>
      <c r="E580" s="17">
        <v>0.336628726852715</v>
      </c>
      <c r="F580" s="17"/>
      <c r="G580" s="17">
        <v>0.50367861447547302</v>
      </c>
      <c r="H580" s="17">
        <v>0.398663135864884</v>
      </c>
      <c r="I580" s="17">
        <v>0.36334920853861102</v>
      </c>
      <c r="J580" s="17">
        <v>0.32697510796361101</v>
      </c>
      <c r="K580" s="17">
        <v>0.28921697521144002</v>
      </c>
      <c r="L580" s="17">
        <v>0.26921665712612902</v>
      </c>
      <c r="M580" s="17"/>
      <c r="N580" s="17">
        <v>0.14934472968047899</v>
      </c>
      <c r="O580" s="17">
        <v>0.52400088950622603</v>
      </c>
      <c r="P580" s="17">
        <v>0.28069520536160802</v>
      </c>
      <c r="Q580" s="17">
        <v>0.26852539817954002</v>
      </c>
      <c r="R580" s="17">
        <v>0.38686291466255102</v>
      </c>
      <c r="S580" s="17">
        <v>0.27353027217808601</v>
      </c>
      <c r="T580" s="17">
        <v>0.35130344956002502</v>
      </c>
      <c r="U580" s="17">
        <v>0.44705485515480597</v>
      </c>
      <c r="V580" s="17">
        <v>0.41426786856248199</v>
      </c>
      <c r="W580" s="17"/>
      <c r="X580" s="17">
        <v>0.38171221195189098</v>
      </c>
      <c r="Y580" s="17">
        <v>0.31593688199091502</v>
      </c>
    </row>
    <row r="581" spans="2:25" x14ac:dyDescent="0.35">
      <c r="B581" t="s">
        <v>265</v>
      </c>
      <c r="C581" s="17">
        <v>0.26033949778774002</v>
      </c>
      <c r="D581" s="17">
        <v>0.23895385648061601</v>
      </c>
      <c r="E581" s="17">
        <v>0.28037156420931703</v>
      </c>
      <c r="F581" s="17"/>
      <c r="G581" s="17">
        <v>0.32320775413493003</v>
      </c>
      <c r="H581" s="17">
        <v>0.262341390276224</v>
      </c>
      <c r="I581" s="17">
        <v>0.25979189026445998</v>
      </c>
      <c r="J581" s="17">
        <v>0.21696619920912999</v>
      </c>
      <c r="K581" s="17">
        <v>0.24346200269597401</v>
      </c>
      <c r="L581" s="17">
        <v>0.27685764942469199</v>
      </c>
      <c r="M581" s="17"/>
      <c r="N581" s="17">
        <v>0.13877266002653799</v>
      </c>
      <c r="O581" s="17">
        <v>0.32589980258885898</v>
      </c>
      <c r="P581" s="17">
        <v>0.21398097993389301</v>
      </c>
      <c r="Q581" s="17">
        <v>0.21434560522478399</v>
      </c>
      <c r="R581" s="17">
        <v>0.30119750048824101</v>
      </c>
      <c r="S581" s="17">
        <v>0.15807231015107201</v>
      </c>
      <c r="T581" s="17">
        <v>0.32634383753166701</v>
      </c>
      <c r="U581" s="17">
        <v>0.36256844724555798</v>
      </c>
      <c r="V581" s="17">
        <v>0.25326149016154198</v>
      </c>
      <c r="W581" s="17"/>
      <c r="X581" s="17">
        <v>0.26437677904836698</v>
      </c>
      <c r="Y581" s="17">
        <v>0.25810540148246303</v>
      </c>
    </row>
    <row r="582" spans="2:25" x14ac:dyDescent="0.35">
      <c r="B582" t="s">
        <v>266</v>
      </c>
      <c r="C582" s="17">
        <v>0.217150426145193</v>
      </c>
      <c r="D582" s="17">
        <v>0.200381351145274</v>
      </c>
      <c r="E582" s="17">
        <v>0.23293425726160899</v>
      </c>
      <c r="F582" s="17"/>
      <c r="G582" s="17">
        <v>0.20334005923873</v>
      </c>
      <c r="H582" s="17">
        <v>0.19204320684779899</v>
      </c>
      <c r="I582" s="17">
        <v>0.22995811499862401</v>
      </c>
      <c r="J582" s="17">
        <v>0.186722481844423</v>
      </c>
      <c r="K582" s="17">
        <v>0.219636348561183</v>
      </c>
      <c r="L582" s="17">
        <v>0.24809410180710101</v>
      </c>
      <c r="M582" s="17"/>
      <c r="N582" s="17">
        <v>0.122063414865503</v>
      </c>
      <c r="O582" s="17">
        <v>0.19790457179833901</v>
      </c>
      <c r="P582" s="17">
        <v>0.18135650561386399</v>
      </c>
      <c r="Q582" s="17">
        <v>0.11584460633386499</v>
      </c>
      <c r="R582" s="17">
        <v>0.27005708343872697</v>
      </c>
      <c r="S582" s="17">
        <v>0.166624945696695</v>
      </c>
      <c r="T582" s="17">
        <v>0.25375162669879098</v>
      </c>
      <c r="U582" s="17">
        <v>0.33491317539740201</v>
      </c>
      <c r="V582" s="17">
        <v>0.22480734109297801</v>
      </c>
      <c r="W582" s="17"/>
      <c r="X582" s="17">
        <v>0.21384768003014701</v>
      </c>
      <c r="Y582" s="17">
        <v>0.21897805528880801</v>
      </c>
    </row>
    <row r="583" spans="2:25" x14ac:dyDescent="0.35">
      <c r="B583" t="s">
        <v>162</v>
      </c>
      <c r="C583" s="17">
        <v>0.103086180974281</v>
      </c>
      <c r="D583" s="17">
        <v>9.4604368537200695E-2</v>
      </c>
      <c r="E583" s="17">
        <v>0.111483454399481</v>
      </c>
      <c r="F583" s="17"/>
      <c r="G583" s="17">
        <v>3.45448424335748E-2</v>
      </c>
      <c r="H583" s="17">
        <v>5.5103603668050297E-2</v>
      </c>
      <c r="I583" s="17">
        <v>8.5211905509712305E-2</v>
      </c>
      <c r="J583" s="17">
        <v>0.105261910099232</v>
      </c>
      <c r="K583" s="17">
        <v>0.12432489027949301</v>
      </c>
      <c r="L583" s="17">
        <v>0.15299757152263699</v>
      </c>
      <c r="M583" s="17"/>
      <c r="N583" s="17">
        <v>9.2271842221226794E-2</v>
      </c>
      <c r="O583" s="17">
        <v>1.8636489044818599E-2</v>
      </c>
      <c r="P583" s="17">
        <v>0.108064555766703</v>
      </c>
      <c r="Q583" s="17">
        <v>0.15124631996017199</v>
      </c>
      <c r="R583" s="17">
        <v>6.9610960520715498E-2</v>
      </c>
      <c r="S583" s="17">
        <v>0.135091546433111</v>
      </c>
      <c r="T583" s="17">
        <v>8.3492764282731599E-2</v>
      </c>
      <c r="U583" s="17">
        <v>8.7048748736157103E-2</v>
      </c>
      <c r="V583" s="17">
        <v>0.111143577166675</v>
      </c>
      <c r="W583" s="17"/>
      <c r="X583" s="17">
        <v>5.2421956271136799E-2</v>
      </c>
      <c r="Y583" s="17">
        <v>0.131122066985708</v>
      </c>
    </row>
    <row r="584" spans="2:25" x14ac:dyDescent="0.35">
      <c r="B584" t="s">
        <v>68</v>
      </c>
      <c r="C584" s="17">
        <v>7.2266767107127903E-3</v>
      </c>
      <c r="D584" s="17">
        <v>8.6248119221041305E-3</v>
      </c>
      <c r="E584" s="17">
        <v>5.9393882938541098E-3</v>
      </c>
      <c r="F584" s="17"/>
      <c r="G584" s="17">
        <v>2.58266960339616E-3</v>
      </c>
      <c r="H584" s="17">
        <v>5.1654322637320399E-3</v>
      </c>
      <c r="I584" s="17">
        <v>2.8074362789267701E-3</v>
      </c>
      <c r="J584" s="17">
        <v>6.4818134341473E-3</v>
      </c>
      <c r="K584" s="17">
        <v>1.39941758349214E-2</v>
      </c>
      <c r="L584" s="17">
        <v>9.0643905150230401E-3</v>
      </c>
      <c r="M584" s="17"/>
      <c r="N584" s="17">
        <v>2.2592218659144001E-2</v>
      </c>
      <c r="O584" s="17">
        <v>0</v>
      </c>
      <c r="P584" s="17">
        <v>2.7279075174217499E-3</v>
      </c>
      <c r="Q584" s="17">
        <v>7.76644103391326E-3</v>
      </c>
      <c r="R584" s="17">
        <v>6.0996208261885603E-3</v>
      </c>
      <c r="S584" s="17">
        <v>1.2467912462135499E-2</v>
      </c>
      <c r="T584" s="17">
        <v>5.13796472877418E-3</v>
      </c>
      <c r="U584" s="17">
        <v>7.50536997147938E-3</v>
      </c>
      <c r="V584" s="17">
        <v>6.9718275939607598E-3</v>
      </c>
      <c r="W584" s="17"/>
      <c r="X584" s="17">
        <v>8.7995601577540508E-3</v>
      </c>
      <c r="Y584" s="17">
        <v>6.3562956619769998E-3</v>
      </c>
    </row>
    <row r="585" spans="2:25" x14ac:dyDescent="0.35">
      <c r="C585" s="17"/>
      <c r="D585" s="17"/>
      <c r="E585" s="17"/>
      <c r="F585" s="17"/>
      <c r="G585" s="17"/>
      <c r="H585" s="17"/>
      <c r="I585" s="17"/>
      <c r="J585" s="17"/>
      <c r="K585" s="17"/>
      <c r="L585" s="17"/>
      <c r="M585" s="17"/>
      <c r="N585" s="17"/>
      <c r="O585" s="17"/>
      <c r="P585" s="17"/>
      <c r="Q585" s="17"/>
      <c r="R585" s="17"/>
      <c r="S585" s="17"/>
      <c r="T585" s="17"/>
      <c r="U585" s="17"/>
      <c r="V585" s="17"/>
      <c r="W585" s="17"/>
      <c r="X585" s="17"/>
      <c r="Y585" s="17"/>
    </row>
    <row r="586" spans="2:25" x14ac:dyDescent="0.35">
      <c r="B586" s="6" t="s">
        <v>268</v>
      </c>
      <c r="C586" s="17"/>
      <c r="D586" s="17"/>
      <c r="E586" s="17"/>
      <c r="F586" s="17"/>
      <c r="G586" s="17"/>
      <c r="H586" s="17"/>
      <c r="I586" s="17"/>
      <c r="J586" s="17"/>
      <c r="K586" s="17"/>
      <c r="L586" s="17"/>
      <c r="M586" s="17"/>
      <c r="N586" s="17"/>
      <c r="O586" s="17"/>
      <c r="P586" s="17"/>
      <c r="Q586" s="17"/>
      <c r="R586" s="17"/>
      <c r="S586" s="17"/>
      <c r="T586" s="17"/>
      <c r="U586" s="17"/>
      <c r="V586" s="17"/>
      <c r="W586" s="17"/>
      <c r="X586" s="17"/>
      <c r="Y586" s="17"/>
    </row>
    <row r="587" spans="2:25" x14ac:dyDescent="0.35">
      <c r="B587" s="24" t="s">
        <v>50</v>
      </c>
      <c r="C587" s="17"/>
      <c r="D587" s="17"/>
      <c r="E587" s="17"/>
      <c r="F587" s="17"/>
      <c r="G587" s="17"/>
      <c r="H587" s="17"/>
      <c r="I587" s="17"/>
      <c r="J587" s="17"/>
      <c r="K587" s="17"/>
      <c r="L587" s="17"/>
      <c r="M587" s="17"/>
      <c r="N587" s="17"/>
      <c r="O587" s="17"/>
      <c r="P587" s="17"/>
      <c r="Q587" s="17"/>
      <c r="R587" s="17"/>
      <c r="S587" s="17"/>
      <c r="T587" s="17"/>
      <c r="U587" s="17"/>
      <c r="V587" s="17"/>
      <c r="W587" s="17"/>
      <c r="X587" s="17"/>
      <c r="Y587" s="17"/>
    </row>
    <row r="588" spans="2:25" x14ac:dyDescent="0.35">
      <c r="B588" t="s">
        <v>162</v>
      </c>
      <c r="C588" s="17">
        <v>0.332773368151627</v>
      </c>
      <c r="D588" s="17">
        <v>0.28829579602261302</v>
      </c>
      <c r="E588" s="17">
        <v>0.37512676986956001</v>
      </c>
      <c r="F588" s="17"/>
      <c r="G588" s="17">
        <v>0.22470685440100099</v>
      </c>
      <c r="H588" s="17">
        <v>0.23530181717583401</v>
      </c>
      <c r="I588" s="17">
        <v>0.30564155989915398</v>
      </c>
      <c r="J588" s="17">
        <v>0.32799940883158601</v>
      </c>
      <c r="K588" s="17">
        <v>0.380683546736309</v>
      </c>
      <c r="L588" s="17">
        <v>0.41982230664093101</v>
      </c>
      <c r="M588" s="17"/>
      <c r="N588" s="17">
        <v>0.24072995637967201</v>
      </c>
      <c r="O588" s="17">
        <v>0.35930058860644398</v>
      </c>
      <c r="P588" s="17">
        <v>0.308407357379268</v>
      </c>
      <c r="Q588" s="17">
        <v>0.28071316342473901</v>
      </c>
      <c r="R588" s="17">
        <v>0.34189083175104701</v>
      </c>
      <c r="S588" s="17">
        <v>0.36803597048916298</v>
      </c>
      <c r="T588" s="17">
        <v>0.39515735453291401</v>
      </c>
      <c r="U588" s="17">
        <v>0.33335601747740401</v>
      </c>
      <c r="V588" s="17">
        <v>0.28917189531801002</v>
      </c>
      <c r="W588" s="17"/>
      <c r="X588" s="17">
        <v>0.27263100980187799</v>
      </c>
      <c r="Y588" s="17">
        <v>0.36605413605109699</v>
      </c>
    </row>
    <row r="589" spans="2:25" x14ac:dyDescent="0.35">
      <c r="B589" t="s">
        <v>266</v>
      </c>
      <c r="C589" s="17">
        <v>0.30410123900743902</v>
      </c>
      <c r="D589" s="17">
        <v>0.32957127429009803</v>
      </c>
      <c r="E589" s="17">
        <v>0.279426250023596</v>
      </c>
      <c r="F589" s="17"/>
      <c r="G589" s="17">
        <v>0.417608433772445</v>
      </c>
      <c r="H589" s="17">
        <v>0.37831940116059298</v>
      </c>
      <c r="I589" s="17">
        <v>0.29557946334152801</v>
      </c>
      <c r="J589" s="17">
        <v>0.32681216793328099</v>
      </c>
      <c r="K589" s="17">
        <v>0.29236843428349601</v>
      </c>
      <c r="L589" s="17">
        <v>0.215593454246396</v>
      </c>
      <c r="M589" s="17"/>
      <c r="N589" s="17">
        <v>0.41602653899277803</v>
      </c>
      <c r="O589" s="17">
        <v>0.37353795811048701</v>
      </c>
      <c r="P589" s="17">
        <v>0.278890333617279</v>
      </c>
      <c r="Q589" s="17">
        <v>0.45514010807466998</v>
      </c>
      <c r="R589" s="17">
        <v>0.27121054869821698</v>
      </c>
      <c r="S589" s="17">
        <v>0.27552782168179601</v>
      </c>
      <c r="T589" s="17">
        <v>0.23776974707547799</v>
      </c>
      <c r="U589" s="17">
        <v>0.241007221048326</v>
      </c>
      <c r="V589" s="17">
        <v>0.37592079403110901</v>
      </c>
      <c r="W589" s="17"/>
      <c r="X589" s="17">
        <v>0.362253846534838</v>
      </c>
      <c r="Y589" s="17">
        <v>0.271921532607941</v>
      </c>
    </row>
    <row r="590" spans="2:25" x14ac:dyDescent="0.35">
      <c r="B590" t="s">
        <v>265</v>
      </c>
      <c r="C590" s="17">
        <v>0.26183629647044299</v>
      </c>
      <c r="D590" s="17">
        <v>0.29107376157113501</v>
      </c>
      <c r="E590" s="17">
        <v>0.23427917378517499</v>
      </c>
      <c r="F590" s="17"/>
      <c r="G590" s="17">
        <v>0.31753652453904102</v>
      </c>
      <c r="H590" s="17">
        <v>0.31186389975593798</v>
      </c>
      <c r="I590" s="17">
        <v>0.25060193021039701</v>
      </c>
      <c r="J590" s="17">
        <v>0.265421615110774</v>
      </c>
      <c r="K590" s="17">
        <v>0.26758899820851301</v>
      </c>
      <c r="L590" s="17">
        <v>0.21246179842544599</v>
      </c>
      <c r="M590" s="17"/>
      <c r="N590" s="17">
        <v>0.38369127127880998</v>
      </c>
      <c r="O590" s="17">
        <v>0.293498577801102</v>
      </c>
      <c r="P590" s="17">
        <v>0.26713203606192998</v>
      </c>
      <c r="Q590" s="17">
        <v>0.29720356725946501</v>
      </c>
      <c r="R590" s="17">
        <v>0.23213536106945401</v>
      </c>
      <c r="S590" s="17">
        <v>0.32257463149624899</v>
      </c>
      <c r="T590" s="17">
        <v>0.17683744095718201</v>
      </c>
      <c r="U590" s="17">
        <v>0.219332444470413</v>
      </c>
      <c r="V590" s="17">
        <v>0.32276298494213801</v>
      </c>
      <c r="W590" s="17"/>
      <c r="X590" s="17">
        <v>0.30842519720256001</v>
      </c>
      <c r="Y590" s="17">
        <v>0.23605555832678299</v>
      </c>
    </row>
    <row r="591" spans="2:25" x14ac:dyDescent="0.35">
      <c r="B591" t="s">
        <v>264</v>
      </c>
      <c r="C591" s="17">
        <v>0.238811521827025</v>
      </c>
      <c r="D591" s="17">
        <v>0.24147038370832</v>
      </c>
      <c r="E591" s="17">
        <v>0.23609633697416799</v>
      </c>
      <c r="F591" s="17"/>
      <c r="G591" s="17">
        <v>0.16538870807081099</v>
      </c>
      <c r="H591" s="17">
        <v>0.20010025291473299</v>
      </c>
      <c r="I591" s="17">
        <v>0.215642036745127</v>
      </c>
      <c r="J591" s="17">
        <v>0.23758194912397701</v>
      </c>
      <c r="K591" s="17">
        <v>0.26926846465926602</v>
      </c>
      <c r="L591" s="17">
        <v>0.28470707761783998</v>
      </c>
      <c r="M591" s="17"/>
      <c r="N591" s="17">
        <v>0.44342820091040802</v>
      </c>
      <c r="O591" s="17">
        <v>0.15869433867798999</v>
      </c>
      <c r="P591" s="17">
        <v>0.27103582445891999</v>
      </c>
      <c r="Q591" s="17">
        <v>0.287676071928536</v>
      </c>
      <c r="R591" s="17">
        <v>0.21284347281975899</v>
      </c>
      <c r="S591" s="17">
        <v>0.237241398458921</v>
      </c>
      <c r="T591" s="17">
        <v>0.21004979624435799</v>
      </c>
      <c r="U591" s="17">
        <v>0.20583331705823099</v>
      </c>
      <c r="V591" s="17">
        <v>0.19462554526342299</v>
      </c>
      <c r="W591" s="17"/>
      <c r="X591" s="17">
        <v>0.23042699544290901</v>
      </c>
      <c r="Y591" s="17">
        <v>0.243451238063526</v>
      </c>
    </row>
    <row r="592" spans="2:25" x14ac:dyDescent="0.35">
      <c r="B592" t="s">
        <v>263</v>
      </c>
      <c r="C592" s="17">
        <v>0.15588361228338199</v>
      </c>
      <c r="D592" s="17">
        <v>0.17245328847465</v>
      </c>
      <c r="E592" s="17">
        <v>0.14064693692901001</v>
      </c>
      <c r="F592" s="17"/>
      <c r="G592" s="17">
        <v>0.14132132552489901</v>
      </c>
      <c r="H592" s="17">
        <v>0.149814953196995</v>
      </c>
      <c r="I592" s="17">
        <v>0.139549916541028</v>
      </c>
      <c r="J592" s="17">
        <v>0.15769778815906299</v>
      </c>
      <c r="K592" s="17">
        <v>0.14447152914059599</v>
      </c>
      <c r="L592" s="17">
        <v>0.18164470760964199</v>
      </c>
      <c r="M592" s="17"/>
      <c r="N592" s="17">
        <v>7.9746561038684105E-2</v>
      </c>
      <c r="O592" s="17">
        <v>5.95190722405659E-2</v>
      </c>
      <c r="P592" s="17">
        <v>0.17218542952913801</v>
      </c>
      <c r="Q592" s="17">
        <v>0.127675063271185</v>
      </c>
      <c r="R592" s="17">
        <v>0.137589347536689</v>
      </c>
      <c r="S592" s="17">
        <v>0.17578131440022501</v>
      </c>
      <c r="T592" s="17">
        <v>0.16968109807770801</v>
      </c>
      <c r="U592" s="17">
        <v>0.16860569760395</v>
      </c>
      <c r="V592" s="17">
        <v>0.201914441045461</v>
      </c>
      <c r="W592" s="17"/>
      <c r="X592" s="17">
        <v>0.16391705519630601</v>
      </c>
      <c r="Y592" s="17">
        <v>0.151438173887636</v>
      </c>
    </row>
    <row r="593" spans="2:25" x14ac:dyDescent="0.35">
      <c r="B593" t="s">
        <v>261</v>
      </c>
      <c r="C593" s="17">
        <v>8.6912519520632697E-2</v>
      </c>
      <c r="D593" s="17">
        <v>0.104630638238194</v>
      </c>
      <c r="E593" s="17">
        <v>7.0071765478572204E-2</v>
      </c>
      <c r="F593" s="17"/>
      <c r="G593" s="17">
        <v>0.120250838314359</v>
      </c>
      <c r="H593" s="17">
        <v>0.114654587244489</v>
      </c>
      <c r="I593" s="17">
        <v>8.2588345232044294E-2</v>
      </c>
      <c r="J593" s="17">
        <v>8.7142186053750306E-2</v>
      </c>
      <c r="K593" s="17">
        <v>8.0454847927008105E-2</v>
      </c>
      <c r="L593" s="17">
        <v>6.4950260742232396E-2</v>
      </c>
      <c r="M593" s="17"/>
      <c r="N593" s="17">
        <v>0.127630392422103</v>
      </c>
      <c r="O593" s="17">
        <v>0.137566085423588</v>
      </c>
      <c r="P593" s="17">
        <v>0.148499539830178</v>
      </c>
      <c r="Q593" s="17">
        <v>6.9007420250032106E-2</v>
      </c>
      <c r="R593" s="17">
        <v>5.9169983894914999E-2</v>
      </c>
      <c r="S593" s="17">
        <v>9.06137047351218E-2</v>
      </c>
      <c r="T593" s="17">
        <v>4.6518596950219301E-2</v>
      </c>
      <c r="U593" s="17">
        <v>9.0456983490997594E-2</v>
      </c>
      <c r="V593" s="17">
        <v>8.3929799783502207E-2</v>
      </c>
      <c r="W593" s="17"/>
      <c r="X593" s="17">
        <v>8.5303236557238302E-2</v>
      </c>
      <c r="Y593" s="17">
        <v>8.7803042843277307E-2</v>
      </c>
    </row>
    <row r="594" spans="2:25" x14ac:dyDescent="0.35">
      <c r="B594" t="s">
        <v>262</v>
      </c>
      <c r="C594" s="17">
        <v>7.0348050916364702E-2</v>
      </c>
      <c r="D594" s="17">
        <v>8.6369840662008396E-2</v>
      </c>
      <c r="E594" s="17">
        <v>5.46172269494812E-2</v>
      </c>
      <c r="F594" s="17"/>
      <c r="G594" s="17">
        <v>0.106148377722606</v>
      </c>
      <c r="H594" s="17">
        <v>9.0191819935450807E-2</v>
      </c>
      <c r="I594" s="17">
        <v>9.4459289874375102E-2</v>
      </c>
      <c r="J594" s="17">
        <v>7.36930234723807E-2</v>
      </c>
      <c r="K594" s="17">
        <v>4.8999232160218599E-2</v>
      </c>
      <c r="L594" s="17">
        <v>4.15780667478143E-2</v>
      </c>
      <c r="M594" s="17"/>
      <c r="N594" s="17">
        <v>0.19479474862746499</v>
      </c>
      <c r="O594" s="17">
        <v>0.17073849833851701</v>
      </c>
      <c r="P594" s="17">
        <v>8.1701386565368697E-2</v>
      </c>
      <c r="Q594" s="17">
        <v>5.67160721834849E-2</v>
      </c>
      <c r="R594" s="17">
        <v>5.0047771812651298E-2</v>
      </c>
      <c r="S594" s="17">
        <v>5.2296133592562799E-2</v>
      </c>
      <c r="T594" s="17">
        <v>5.4489330694032702E-2</v>
      </c>
      <c r="U594" s="17">
        <v>5.8086844195100101E-2</v>
      </c>
      <c r="V594" s="17">
        <v>0.127472867123996</v>
      </c>
      <c r="W594" s="17"/>
      <c r="X594" s="17">
        <v>8.4311624616336206E-2</v>
      </c>
      <c r="Y594" s="17">
        <v>6.2621076648854301E-2</v>
      </c>
    </row>
    <row r="595" spans="2:25" x14ac:dyDescent="0.35">
      <c r="B595" t="s">
        <v>259</v>
      </c>
      <c r="C595" s="17">
        <v>4.7531822752155103E-2</v>
      </c>
      <c r="D595" s="17">
        <v>5.7941033627914001E-2</v>
      </c>
      <c r="E595" s="17">
        <v>3.7608368154018502E-2</v>
      </c>
      <c r="F595" s="17"/>
      <c r="G595" s="17">
        <v>7.8824166407533605E-2</v>
      </c>
      <c r="H595" s="17">
        <v>6.6254067807571093E-2</v>
      </c>
      <c r="I595" s="17">
        <v>5.8193444215759602E-2</v>
      </c>
      <c r="J595" s="17">
        <v>4.4533591363571601E-2</v>
      </c>
      <c r="K595" s="17">
        <v>2.8364947592916499E-2</v>
      </c>
      <c r="L595" s="17">
        <v>3.2629112839686197E-2</v>
      </c>
      <c r="M595" s="17"/>
      <c r="N595" s="17">
        <v>5.5689603686477601E-2</v>
      </c>
      <c r="O595" s="17">
        <v>1.4057182861434699E-2</v>
      </c>
      <c r="P595" s="17">
        <v>2.9279738671706201E-2</v>
      </c>
      <c r="Q595" s="17">
        <v>4.0631373262230902E-2</v>
      </c>
      <c r="R595" s="17">
        <v>7.1573316513808397E-2</v>
      </c>
      <c r="S595" s="17">
        <v>3.46072808040555E-2</v>
      </c>
      <c r="T595" s="17">
        <v>8.5614874762901402E-2</v>
      </c>
      <c r="U595" s="17">
        <v>3.3660162424120198E-2</v>
      </c>
      <c r="V595" s="17">
        <v>3.4467102685359401E-2</v>
      </c>
      <c r="W595" s="17"/>
      <c r="X595" s="17">
        <v>5.0139822019772802E-2</v>
      </c>
      <c r="Y595" s="17">
        <v>4.60886432578822E-2</v>
      </c>
    </row>
    <row r="596" spans="2:25" x14ac:dyDescent="0.35">
      <c r="B596" t="s">
        <v>260</v>
      </c>
      <c r="C596" s="17">
        <v>4.1920187366714302E-2</v>
      </c>
      <c r="D596" s="17">
        <v>5.2426117951591703E-2</v>
      </c>
      <c r="E596" s="17">
        <v>3.18885148435534E-2</v>
      </c>
      <c r="F596" s="17"/>
      <c r="G596" s="17">
        <v>6.2367001059237002E-2</v>
      </c>
      <c r="H596" s="17">
        <v>6.4169906057711598E-2</v>
      </c>
      <c r="I596" s="17">
        <v>6.0830821446357E-2</v>
      </c>
      <c r="J596" s="17">
        <v>2.89083020462329E-2</v>
      </c>
      <c r="K596" s="17">
        <v>4.0634134464102703E-2</v>
      </c>
      <c r="L596" s="17">
        <v>1.8747358833607501E-2</v>
      </c>
      <c r="M596" s="17"/>
      <c r="N596" s="17">
        <v>6.0623778198509198E-2</v>
      </c>
      <c r="O596" s="17">
        <v>2.6161352364196901E-2</v>
      </c>
      <c r="P596" s="17">
        <v>3.7827762184976098E-2</v>
      </c>
      <c r="Q596" s="17">
        <v>3.7872793899070202E-2</v>
      </c>
      <c r="R596" s="17">
        <v>4.1293441216055701E-2</v>
      </c>
      <c r="S596" s="17">
        <v>3.7765823426386902E-2</v>
      </c>
      <c r="T596" s="17">
        <v>3.6020231059300599E-2</v>
      </c>
      <c r="U596" s="17">
        <v>5.36627695293906E-2</v>
      </c>
      <c r="V596" s="17">
        <v>5.7546218660317998E-2</v>
      </c>
      <c r="W596" s="17"/>
      <c r="X596" s="17">
        <v>4.43646666512151E-2</v>
      </c>
      <c r="Y596" s="17">
        <v>4.0567494357414101E-2</v>
      </c>
    </row>
    <row r="597" spans="2:25" x14ac:dyDescent="0.35">
      <c r="B597" t="s">
        <v>258</v>
      </c>
      <c r="C597" s="17">
        <v>3.9388702770637898E-2</v>
      </c>
      <c r="D597" s="17">
        <v>4.4951226421707097E-2</v>
      </c>
      <c r="E597" s="17">
        <v>3.4309750079453902E-2</v>
      </c>
      <c r="F597" s="17"/>
      <c r="G597" s="17">
        <v>7.6972551287861901E-2</v>
      </c>
      <c r="H597" s="17">
        <v>6.20231446770277E-2</v>
      </c>
      <c r="I597" s="17">
        <v>5.7871268841881297E-2</v>
      </c>
      <c r="J597" s="17">
        <v>2.7756069098232999E-2</v>
      </c>
      <c r="K597" s="17">
        <v>2.0642123498104899E-2</v>
      </c>
      <c r="L597" s="17">
        <v>2.0435564988297399E-2</v>
      </c>
      <c r="M597" s="17"/>
      <c r="N597" s="17">
        <v>3.5794608766285797E-2</v>
      </c>
      <c r="O597" s="17">
        <v>9.0130006909208693E-3</v>
      </c>
      <c r="P597" s="17">
        <v>4.2940545534637498E-2</v>
      </c>
      <c r="Q597" s="17">
        <v>3.6039598562484898E-2</v>
      </c>
      <c r="R597" s="17">
        <v>4.1819008285391999E-2</v>
      </c>
      <c r="S597" s="17">
        <v>3.9335999430700201E-2</v>
      </c>
      <c r="T597" s="17">
        <v>3.4658754107635602E-2</v>
      </c>
      <c r="U597" s="17">
        <v>5.2620551530878697E-2</v>
      </c>
      <c r="V597" s="17">
        <v>2.8671960064604301E-2</v>
      </c>
      <c r="W597" s="17"/>
      <c r="X597" s="17">
        <v>4.8592714656737097E-2</v>
      </c>
      <c r="Y597" s="17">
        <v>3.4295510688879302E-2</v>
      </c>
    </row>
    <row r="598" spans="2:25" x14ac:dyDescent="0.35">
      <c r="B598" t="s">
        <v>257</v>
      </c>
      <c r="C598" s="17">
        <v>3.7234483013121197E-2</v>
      </c>
      <c r="D598" s="17">
        <v>4.6939265445091201E-2</v>
      </c>
      <c r="E598" s="17">
        <v>2.8247385525559401E-2</v>
      </c>
      <c r="F598" s="17"/>
      <c r="G598" s="17">
        <v>7.2698410283380296E-2</v>
      </c>
      <c r="H598" s="17">
        <v>6.6953771759376599E-2</v>
      </c>
      <c r="I598" s="17">
        <v>4.24939556175375E-2</v>
      </c>
      <c r="J598" s="17">
        <v>4.0368628666753698E-2</v>
      </c>
      <c r="K598" s="17">
        <v>1.5582408096124401E-2</v>
      </c>
      <c r="L598" s="17">
        <v>1.51797231056163E-2</v>
      </c>
      <c r="M598" s="17"/>
      <c r="N598" s="17">
        <v>5.7540918807387903E-2</v>
      </c>
      <c r="O598" s="17">
        <v>1.2014409185205599E-2</v>
      </c>
      <c r="P598" s="17">
        <v>3.4075693689766103E-2</v>
      </c>
      <c r="Q598" s="17">
        <v>4.3954125949435902E-2</v>
      </c>
      <c r="R598" s="17">
        <v>2.5375089890166399E-2</v>
      </c>
      <c r="S598" s="17">
        <v>4.1850960334289901E-2</v>
      </c>
      <c r="T598" s="17">
        <v>4.1035815272769803E-2</v>
      </c>
      <c r="U598" s="17">
        <v>4.0234480681125402E-2</v>
      </c>
      <c r="V598" s="17">
        <v>3.1514129165039401E-2</v>
      </c>
      <c r="W598" s="17"/>
      <c r="X598" s="17">
        <v>4.4983974723200197E-2</v>
      </c>
      <c r="Y598" s="17">
        <v>3.2946173708019201E-2</v>
      </c>
    </row>
    <row r="599" spans="2:25" x14ac:dyDescent="0.35">
      <c r="B599" t="s">
        <v>106</v>
      </c>
      <c r="C599" s="17">
        <v>1.0371087083719199E-2</v>
      </c>
      <c r="D599" s="17">
        <v>1.0815909136682801E-2</v>
      </c>
      <c r="E599" s="17">
        <v>9.9938303183549904E-3</v>
      </c>
      <c r="F599" s="17"/>
      <c r="G599" s="17">
        <v>4.8793491655001403E-3</v>
      </c>
      <c r="H599" s="17">
        <v>7.0711648564045302E-3</v>
      </c>
      <c r="I599" s="17">
        <v>4.9266519093966099E-3</v>
      </c>
      <c r="J599" s="17">
        <v>9.9047994090511494E-3</v>
      </c>
      <c r="K599" s="17">
        <v>1.8092613052724901E-2</v>
      </c>
      <c r="L599" s="17">
        <v>1.30968503990638E-2</v>
      </c>
      <c r="M599" s="17"/>
      <c r="N599" s="17">
        <v>1.73105066087073E-2</v>
      </c>
      <c r="O599" s="17">
        <v>7.3468610740331803E-3</v>
      </c>
      <c r="P599" s="17">
        <v>3.3914968171304101E-3</v>
      </c>
      <c r="Q599" s="17">
        <v>3.8948342695046502E-3</v>
      </c>
      <c r="R599" s="17">
        <v>7.5354402914840799E-3</v>
      </c>
      <c r="S599" s="17">
        <v>6.69972598574503E-3</v>
      </c>
      <c r="T599" s="17">
        <v>1.3721342138262101E-2</v>
      </c>
      <c r="U599" s="17">
        <v>2.6799583957394998E-2</v>
      </c>
      <c r="V599" s="17">
        <v>8.5384300698442203E-3</v>
      </c>
      <c r="W599" s="17"/>
      <c r="X599" s="17">
        <v>1.47394762276615E-2</v>
      </c>
      <c r="Y599" s="17">
        <v>7.9537667593539106E-3</v>
      </c>
    </row>
    <row r="600" spans="2:25" x14ac:dyDescent="0.35">
      <c r="C600" s="17"/>
      <c r="D600" s="17"/>
      <c r="E600" s="17"/>
      <c r="F600" s="17"/>
      <c r="G600" s="17"/>
      <c r="H600" s="17"/>
      <c r="I600" s="17"/>
      <c r="J600" s="17"/>
      <c r="K600" s="17"/>
      <c r="L600" s="17"/>
      <c r="M600" s="17"/>
      <c r="N600" s="17"/>
      <c r="O600" s="17"/>
      <c r="P600" s="17"/>
      <c r="Q600" s="17"/>
      <c r="R600" s="17"/>
      <c r="S600" s="17"/>
      <c r="T600" s="17"/>
      <c r="U600" s="17"/>
      <c r="V600" s="17"/>
      <c r="W600" s="17"/>
      <c r="X600" s="17"/>
      <c r="Y600" s="17"/>
    </row>
    <row r="601" spans="2:25" x14ac:dyDescent="0.35">
      <c r="B601" s="6" t="s">
        <v>284</v>
      </c>
      <c r="C601" s="17"/>
      <c r="D601" s="17"/>
      <c r="E601" s="17"/>
      <c r="F601" s="17"/>
      <c r="G601" s="17"/>
      <c r="H601" s="17"/>
      <c r="I601" s="17"/>
      <c r="J601" s="17"/>
      <c r="K601" s="17"/>
      <c r="L601" s="17"/>
      <c r="M601" s="17"/>
      <c r="N601" s="17"/>
      <c r="O601" s="17"/>
      <c r="P601" s="17"/>
      <c r="Q601" s="17"/>
      <c r="R601" s="17"/>
      <c r="S601" s="17"/>
      <c r="T601" s="17"/>
      <c r="U601" s="17"/>
      <c r="V601" s="17"/>
      <c r="W601" s="17"/>
      <c r="X601" s="17"/>
      <c r="Y601" s="17"/>
    </row>
    <row r="602" spans="2:25" x14ac:dyDescent="0.35">
      <c r="B602" s="24" t="s">
        <v>535</v>
      </c>
      <c r="C602" s="17"/>
      <c r="D602" s="17"/>
      <c r="E602" s="17"/>
      <c r="F602" s="17"/>
      <c r="G602" s="17"/>
      <c r="H602" s="17"/>
      <c r="I602" s="17"/>
      <c r="J602" s="17"/>
      <c r="K602" s="17"/>
      <c r="L602" s="17"/>
      <c r="M602" s="17"/>
      <c r="N602" s="17"/>
      <c r="O602" s="17"/>
      <c r="P602" s="17"/>
      <c r="Q602" s="17"/>
      <c r="R602" s="17"/>
      <c r="S602" s="17"/>
      <c r="T602" s="17"/>
      <c r="U602" s="17"/>
      <c r="V602" s="17"/>
      <c r="W602" s="17"/>
      <c r="X602" s="17"/>
      <c r="Y602" s="17"/>
    </row>
    <row r="603" spans="2:25" x14ac:dyDescent="0.35">
      <c r="B603" t="s">
        <v>276</v>
      </c>
      <c r="C603" s="17">
        <v>0.42257651563259202</v>
      </c>
      <c r="D603" s="17">
        <v>0.38262760601606799</v>
      </c>
      <c r="E603" s="17">
        <v>0.46235349466657699</v>
      </c>
      <c r="F603" s="17"/>
      <c r="G603" s="17">
        <v>0.33020115354712198</v>
      </c>
      <c r="H603" s="17">
        <v>0.40292967245157102</v>
      </c>
      <c r="I603" s="17">
        <v>0.42289521576626399</v>
      </c>
      <c r="J603" s="17">
        <v>0.427679887309104</v>
      </c>
      <c r="K603" s="17">
        <v>0.49585093826260501</v>
      </c>
      <c r="L603" s="17">
        <v>0.55989981060553795</v>
      </c>
      <c r="M603" s="17"/>
      <c r="N603" s="17">
        <v>0.54527567649815101</v>
      </c>
      <c r="O603" s="17">
        <v>0.32729465680706299</v>
      </c>
      <c r="P603" s="17">
        <v>0.39142026807944902</v>
      </c>
      <c r="Q603" s="17">
        <v>0.302166943384791</v>
      </c>
      <c r="R603" s="17">
        <v>0.469860543577447</v>
      </c>
      <c r="S603" s="17">
        <v>0.420410712023494</v>
      </c>
      <c r="T603" s="17">
        <v>0.392391350300688</v>
      </c>
      <c r="U603" s="17">
        <v>0.53911117591593005</v>
      </c>
      <c r="V603" s="17">
        <v>0.36953089866073502</v>
      </c>
      <c r="W603" s="17"/>
      <c r="X603" s="17">
        <v>0.47342317456532801</v>
      </c>
      <c r="Y603" s="17">
        <v>0.37938825586734698</v>
      </c>
    </row>
    <row r="604" spans="2:25" x14ac:dyDescent="0.35">
      <c r="B604" t="s">
        <v>277</v>
      </c>
      <c r="C604" s="17">
        <v>0.37762143019522398</v>
      </c>
      <c r="D604" s="17">
        <v>0.40130477518777002</v>
      </c>
      <c r="E604" s="17">
        <v>0.35491546528951501</v>
      </c>
      <c r="F604" s="17"/>
      <c r="G604" s="17">
        <v>0.38909067795949698</v>
      </c>
      <c r="H604" s="17">
        <v>0.38815376712903998</v>
      </c>
      <c r="I604" s="17">
        <v>0.37840076757058999</v>
      </c>
      <c r="J604" s="17">
        <v>0.37870726803212801</v>
      </c>
      <c r="K604" s="17">
        <v>0.350867832865563</v>
      </c>
      <c r="L604" s="17">
        <v>0.26815672272207802</v>
      </c>
      <c r="M604" s="17"/>
      <c r="N604" s="17">
        <v>0.25474697822973902</v>
      </c>
      <c r="O604" s="17">
        <v>0.42614563204272099</v>
      </c>
      <c r="P604" s="17">
        <v>0.38920481357685999</v>
      </c>
      <c r="Q604" s="17">
        <v>0.33651220630678003</v>
      </c>
      <c r="R604" s="17">
        <v>0.39142110133732599</v>
      </c>
      <c r="S604" s="17">
        <v>0.384200916194051</v>
      </c>
      <c r="T604" s="17">
        <v>0.42451409512333999</v>
      </c>
      <c r="U604" s="17">
        <v>0.32810091046211098</v>
      </c>
      <c r="V604" s="17">
        <v>0.39048930190444697</v>
      </c>
      <c r="W604" s="17"/>
      <c r="X604" s="17">
        <v>0.36245403895797601</v>
      </c>
      <c r="Y604" s="17">
        <v>0.390504346132376</v>
      </c>
    </row>
    <row r="605" spans="2:25" x14ac:dyDescent="0.35">
      <c r="B605" t="s">
        <v>278</v>
      </c>
      <c r="C605" s="17">
        <v>0.140595589352325</v>
      </c>
      <c r="D605" s="17">
        <v>0.15271797010843699</v>
      </c>
      <c r="E605" s="17">
        <v>0.12753405365913101</v>
      </c>
      <c r="F605" s="17"/>
      <c r="G605" s="17">
        <v>0.203246592701293</v>
      </c>
      <c r="H605" s="17">
        <v>0.14053947557538299</v>
      </c>
      <c r="I605" s="17">
        <v>0.142571844435194</v>
      </c>
      <c r="J605" s="17">
        <v>0.13604239552622899</v>
      </c>
      <c r="K605" s="17">
        <v>0.107196432436219</v>
      </c>
      <c r="L605" s="17">
        <v>0.13945091838048801</v>
      </c>
      <c r="M605" s="17"/>
      <c r="N605" s="17">
        <v>9.92658289043582E-2</v>
      </c>
      <c r="O605" s="17">
        <v>8.2405928455389105E-2</v>
      </c>
      <c r="P605" s="17">
        <v>0.137677173752314</v>
      </c>
      <c r="Q605" s="17">
        <v>0.221310629004147</v>
      </c>
      <c r="R605" s="17">
        <v>0.11209911687532199</v>
      </c>
      <c r="S605" s="17">
        <v>0.12906584961195899</v>
      </c>
      <c r="T605" s="17">
        <v>0.155815853643682</v>
      </c>
      <c r="U605" s="17">
        <v>0.114445244130707</v>
      </c>
      <c r="V605" s="17">
        <v>0.15891958421463101</v>
      </c>
      <c r="W605" s="17"/>
      <c r="X605" s="17">
        <v>0.11687633224591799</v>
      </c>
      <c r="Y605" s="17">
        <v>0.16074231007797399</v>
      </c>
    </row>
    <row r="606" spans="2:25" x14ac:dyDescent="0.35">
      <c r="B606" t="s">
        <v>279</v>
      </c>
      <c r="C606" s="17">
        <v>3.2497972707290802E-2</v>
      </c>
      <c r="D606" s="17">
        <v>3.9499913224355199E-2</v>
      </c>
      <c r="E606" s="17">
        <v>2.5354589036644799E-2</v>
      </c>
      <c r="F606" s="17"/>
      <c r="G606" s="17">
        <v>6.4380935703480802E-2</v>
      </c>
      <c r="H606" s="17">
        <v>3.8866320568386598E-2</v>
      </c>
      <c r="I606" s="17">
        <v>3.7092483438604697E-2</v>
      </c>
      <c r="J606" s="17">
        <v>1.9636753601986499E-2</v>
      </c>
      <c r="K606" s="17">
        <v>1.5637892769221399E-2</v>
      </c>
      <c r="L606" s="17">
        <v>3.2492548291896101E-2</v>
      </c>
      <c r="M606" s="17"/>
      <c r="N606" s="17">
        <v>5.0961648449315999E-2</v>
      </c>
      <c r="O606" s="17">
        <v>5.4763929970770897E-2</v>
      </c>
      <c r="P606" s="17">
        <v>4.0909510239860301E-2</v>
      </c>
      <c r="Q606" s="17">
        <v>8.7261679555992094E-2</v>
      </c>
      <c r="R606" s="17">
        <v>2.6619238209904601E-2</v>
      </c>
      <c r="S606" s="17">
        <v>2.63752493259043E-2</v>
      </c>
      <c r="T606" s="17">
        <v>1.8068264481529199E-2</v>
      </c>
      <c r="U606" s="17">
        <v>8.40875950314947E-3</v>
      </c>
      <c r="V606" s="17">
        <v>4.19484346477461E-2</v>
      </c>
      <c r="W606" s="17"/>
      <c r="X606" s="17">
        <v>2.8355275643522901E-2</v>
      </c>
      <c r="Y606" s="17">
        <v>3.6016706891092598E-2</v>
      </c>
    </row>
    <row r="607" spans="2:25" x14ac:dyDescent="0.35">
      <c r="B607" t="s">
        <v>280</v>
      </c>
      <c r="C607" s="17">
        <v>1.1091347469718999E-2</v>
      </c>
      <c r="D607" s="17">
        <v>1.13233591475187E-2</v>
      </c>
      <c r="E607" s="17">
        <v>1.09091095497549E-2</v>
      </c>
      <c r="F607" s="17"/>
      <c r="G607" s="17">
        <v>1.3080640088606999E-2</v>
      </c>
      <c r="H607" s="17">
        <v>1.41204300815259E-2</v>
      </c>
      <c r="I607" s="17">
        <v>5.9408135469536704E-3</v>
      </c>
      <c r="J607" s="17">
        <v>1.5190532322070001E-2</v>
      </c>
      <c r="K607" s="17">
        <v>1.42749846729104E-2</v>
      </c>
      <c r="L607" s="17">
        <v>0</v>
      </c>
      <c r="M607" s="17"/>
      <c r="N607" s="17">
        <v>3.4860253027704499E-2</v>
      </c>
      <c r="O607" s="17">
        <v>1.5418636836969901E-2</v>
      </c>
      <c r="P607" s="17">
        <v>7.7570884985854096E-3</v>
      </c>
      <c r="Q607" s="17">
        <v>2.68291454763585E-2</v>
      </c>
      <c r="R607" s="17">
        <v>0</v>
      </c>
      <c r="S607" s="17">
        <v>1.84952140001741E-2</v>
      </c>
      <c r="T607" s="17">
        <v>7.2289912902455296E-3</v>
      </c>
      <c r="U607" s="17">
        <v>2.5590035981818801E-3</v>
      </c>
      <c r="V607" s="17">
        <v>2.4883555712390999E-2</v>
      </c>
      <c r="W607" s="17"/>
      <c r="X607" s="17">
        <v>8.7382470327936005E-3</v>
      </c>
      <c r="Y607" s="17">
        <v>1.30900296851638E-2</v>
      </c>
    </row>
    <row r="608" spans="2:25" x14ac:dyDescent="0.35">
      <c r="B608" t="s">
        <v>162</v>
      </c>
      <c r="C608" s="17">
        <v>1.5617144642848401E-2</v>
      </c>
      <c r="D608" s="17">
        <v>1.2526376315851399E-2</v>
      </c>
      <c r="E608" s="17">
        <v>1.8933287798377101E-2</v>
      </c>
      <c r="F608" s="17"/>
      <c r="G608" s="17">
        <v>0</v>
      </c>
      <c r="H608" s="17">
        <v>1.53903341940934E-2</v>
      </c>
      <c r="I608" s="17">
        <v>1.3098875242393801E-2</v>
      </c>
      <c r="J608" s="17">
        <v>2.2743163208482801E-2</v>
      </c>
      <c r="K608" s="17">
        <v>1.6171918993481301E-2</v>
      </c>
      <c r="L608" s="17">
        <v>0</v>
      </c>
      <c r="M608" s="17"/>
      <c r="N608" s="17">
        <v>1.48896148907315E-2</v>
      </c>
      <c r="O608" s="17">
        <v>9.3971215887085693E-2</v>
      </c>
      <c r="P608" s="17">
        <v>3.3031145852930703E-2</v>
      </c>
      <c r="Q608" s="17">
        <v>2.59193962719311E-2</v>
      </c>
      <c r="R608" s="17">
        <v>0</v>
      </c>
      <c r="S608" s="17">
        <v>2.1452058844417699E-2</v>
      </c>
      <c r="T608" s="17">
        <v>1.98144516051561E-3</v>
      </c>
      <c r="U608" s="17">
        <v>7.3749063899203396E-3</v>
      </c>
      <c r="V608" s="17">
        <v>1.42282248600495E-2</v>
      </c>
      <c r="W608" s="17"/>
      <c r="X608" s="17">
        <v>1.0152931554461999E-2</v>
      </c>
      <c r="Y608" s="17">
        <v>2.0258351346047501E-2</v>
      </c>
    </row>
    <row r="609" spans="2:25" x14ac:dyDescent="0.35">
      <c r="B609" t="s">
        <v>281</v>
      </c>
      <c r="C609" s="17">
        <v>0.800197945827817</v>
      </c>
      <c r="D609" s="17">
        <v>0.78393238120383801</v>
      </c>
      <c r="E609" s="17">
        <v>0.81726895995609194</v>
      </c>
      <c r="F609" s="17"/>
      <c r="G609" s="17">
        <v>0.71929183150661902</v>
      </c>
      <c r="H609" s="17">
        <v>0.791083439580611</v>
      </c>
      <c r="I609" s="17">
        <v>0.80129598333685403</v>
      </c>
      <c r="J609" s="17">
        <v>0.80638715534123095</v>
      </c>
      <c r="K609" s="17">
        <v>0.84671877112816796</v>
      </c>
      <c r="L609" s="17">
        <v>0.82805653332761597</v>
      </c>
      <c r="M609" s="17"/>
      <c r="N609" s="17">
        <v>0.80002265472789003</v>
      </c>
      <c r="O609" s="17">
        <v>0.75344028884978398</v>
      </c>
      <c r="P609" s="17">
        <v>0.78062508165630895</v>
      </c>
      <c r="Q609" s="17">
        <v>0.63867914969157102</v>
      </c>
      <c r="R609" s="17">
        <v>0.86128164491477299</v>
      </c>
      <c r="S609" s="17">
        <v>0.80461162821754595</v>
      </c>
      <c r="T609" s="17">
        <v>0.81690544542402799</v>
      </c>
      <c r="U609" s="17">
        <v>0.86721208637804104</v>
      </c>
      <c r="V609" s="17">
        <v>0.76002020056518305</v>
      </c>
      <c r="W609" s="17"/>
      <c r="X609" s="17">
        <v>0.83587721352330302</v>
      </c>
      <c r="Y609" s="17">
        <v>0.76989260199972198</v>
      </c>
    </row>
    <row r="610" spans="2:25" x14ac:dyDescent="0.35">
      <c r="B610" t="s">
        <v>282</v>
      </c>
      <c r="C610" s="17">
        <v>4.3589320177009797E-2</v>
      </c>
      <c r="D610" s="17">
        <v>5.0823272371873798E-2</v>
      </c>
      <c r="E610" s="17">
        <v>3.6263698586399697E-2</v>
      </c>
      <c r="F610" s="17"/>
      <c r="G610" s="17">
        <v>7.7461575792087803E-2</v>
      </c>
      <c r="H610" s="17">
        <v>5.2986750649912498E-2</v>
      </c>
      <c r="I610" s="17">
        <v>4.3033296985558397E-2</v>
      </c>
      <c r="J610" s="17">
        <v>3.4827285924056497E-2</v>
      </c>
      <c r="K610" s="17">
        <v>2.99128774421317E-2</v>
      </c>
      <c r="L610" s="17">
        <v>3.2492548291896101E-2</v>
      </c>
      <c r="M610" s="17"/>
      <c r="N610" s="17">
        <v>8.5821901477020499E-2</v>
      </c>
      <c r="O610" s="17">
        <v>7.0182566807740807E-2</v>
      </c>
      <c r="P610" s="17">
        <v>4.8666598738445699E-2</v>
      </c>
      <c r="Q610" s="17">
        <v>0.114090825032351</v>
      </c>
      <c r="R610" s="17">
        <v>2.6619238209904601E-2</v>
      </c>
      <c r="S610" s="17">
        <v>4.4870463326078303E-2</v>
      </c>
      <c r="T610" s="17">
        <v>2.5297255771774701E-2</v>
      </c>
      <c r="U610" s="17">
        <v>1.0967763101331299E-2</v>
      </c>
      <c r="V610" s="17">
        <v>6.6831990360137206E-2</v>
      </c>
      <c r="W610" s="17"/>
      <c r="X610" s="17">
        <v>3.70935226763165E-2</v>
      </c>
      <c r="Y610" s="17">
        <v>4.9106736576256402E-2</v>
      </c>
    </row>
    <row r="611" spans="2:25" x14ac:dyDescent="0.35">
      <c r="B611" t="s">
        <v>92</v>
      </c>
      <c r="C611" s="17">
        <v>0.756608625650807</v>
      </c>
      <c r="D611" s="17">
        <v>0.73310910883196401</v>
      </c>
      <c r="E611" s="17">
        <v>0.78100526136969295</v>
      </c>
      <c r="F611" s="17"/>
      <c r="G611" s="17">
        <v>0.64183025571453201</v>
      </c>
      <c r="H611" s="17">
        <v>0.73809668893069902</v>
      </c>
      <c r="I611" s="17">
        <v>0.75826268635129501</v>
      </c>
      <c r="J611" s="17">
        <v>0.77155986941717503</v>
      </c>
      <c r="K611" s="17">
        <v>0.81680589368603596</v>
      </c>
      <c r="L611" s="17">
        <v>0.79556398503572001</v>
      </c>
      <c r="M611" s="17"/>
      <c r="N611" s="17">
        <v>0.71420075325086896</v>
      </c>
      <c r="O611" s="17">
        <v>0.68325772204204405</v>
      </c>
      <c r="P611" s="17">
        <v>0.73195848291786303</v>
      </c>
      <c r="Q611" s="17">
        <v>0.52458832465922001</v>
      </c>
      <c r="R611" s="17">
        <v>0.83466240670486902</v>
      </c>
      <c r="S611" s="17">
        <v>0.75974116489146704</v>
      </c>
      <c r="T611" s="17">
        <v>0.79160818965225299</v>
      </c>
      <c r="U611" s="17">
        <v>0.85624432327670996</v>
      </c>
      <c r="V611" s="17">
        <v>0.69318821020504595</v>
      </c>
      <c r="W611" s="17"/>
      <c r="X611" s="17">
        <v>0.79878369084698697</v>
      </c>
      <c r="Y611" s="17">
        <v>0.72078586542346601</v>
      </c>
    </row>
    <row r="612" spans="2:25" x14ac:dyDescent="0.35">
      <c r="C612" s="17"/>
      <c r="D612" s="17"/>
      <c r="E612" s="17"/>
      <c r="F612" s="17"/>
      <c r="G612" s="17"/>
      <c r="H612" s="17"/>
      <c r="I612" s="17"/>
      <c r="J612" s="17"/>
      <c r="K612" s="17"/>
      <c r="L612" s="17"/>
      <c r="M612" s="17"/>
      <c r="N612" s="17"/>
      <c r="O612" s="17"/>
      <c r="P612" s="17"/>
      <c r="Q612" s="17"/>
      <c r="R612" s="17"/>
      <c r="S612" s="17"/>
      <c r="T612" s="17"/>
      <c r="U612" s="17"/>
      <c r="V612" s="17"/>
      <c r="W612" s="17"/>
      <c r="X612" s="17"/>
      <c r="Y612" s="17"/>
    </row>
    <row r="613" spans="2:25" x14ac:dyDescent="0.35">
      <c r="B613" s="6" t="s">
        <v>285</v>
      </c>
      <c r="C613" s="17"/>
      <c r="D613" s="17"/>
      <c r="E613" s="17"/>
      <c r="F613" s="17"/>
      <c r="G613" s="17"/>
      <c r="H613" s="17"/>
      <c r="I613" s="17"/>
      <c r="J613" s="17"/>
      <c r="K613" s="17"/>
      <c r="L613" s="17"/>
      <c r="M613" s="17"/>
      <c r="N613" s="17"/>
      <c r="O613" s="17"/>
      <c r="P613" s="17"/>
      <c r="Q613" s="17"/>
      <c r="R613" s="17"/>
      <c r="S613" s="17"/>
      <c r="T613" s="17"/>
      <c r="U613" s="17"/>
      <c r="V613" s="17"/>
      <c r="W613" s="17"/>
      <c r="X613" s="17"/>
      <c r="Y613" s="17"/>
    </row>
    <row r="614" spans="2:25" x14ac:dyDescent="0.35">
      <c r="B614" s="24" t="s">
        <v>535</v>
      </c>
      <c r="C614" s="17"/>
      <c r="D614" s="17"/>
      <c r="E614" s="17"/>
      <c r="F614" s="17"/>
      <c r="G614" s="17"/>
      <c r="H614" s="17"/>
      <c r="I614" s="17"/>
      <c r="J614" s="17"/>
      <c r="K614" s="17"/>
      <c r="L614" s="17"/>
      <c r="M614" s="17"/>
      <c r="N614" s="17"/>
      <c r="O614" s="17"/>
      <c r="P614" s="17"/>
      <c r="Q614" s="17"/>
      <c r="R614" s="17"/>
      <c r="S614" s="17"/>
      <c r="T614" s="17"/>
      <c r="U614" s="17"/>
      <c r="V614" s="17"/>
      <c r="W614" s="17"/>
      <c r="X614" s="17"/>
      <c r="Y614" s="17"/>
    </row>
    <row r="615" spans="2:25" x14ac:dyDescent="0.35">
      <c r="B615" t="s">
        <v>276</v>
      </c>
      <c r="C615" s="17">
        <v>0.37667431404573398</v>
      </c>
      <c r="D615" s="17">
        <v>0.35144484886875299</v>
      </c>
      <c r="E615" s="17">
        <v>0.40284364907503201</v>
      </c>
      <c r="F615" s="17"/>
      <c r="G615" s="17">
        <v>0.30645869978642298</v>
      </c>
      <c r="H615" s="17">
        <v>0.33934799468825499</v>
      </c>
      <c r="I615" s="17">
        <v>0.39857146110927699</v>
      </c>
      <c r="J615" s="17">
        <v>0.37603575532686201</v>
      </c>
      <c r="K615" s="17">
        <v>0.43613511290524398</v>
      </c>
      <c r="L615" s="17">
        <v>0.328922489703945</v>
      </c>
      <c r="M615" s="17"/>
      <c r="N615" s="17">
        <v>0.27858943952130499</v>
      </c>
      <c r="O615" s="17">
        <v>0.23964616692430199</v>
      </c>
      <c r="P615" s="17">
        <v>0.35078135589708598</v>
      </c>
      <c r="Q615" s="17">
        <v>0.26049152154779898</v>
      </c>
      <c r="R615" s="17">
        <v>0.33760309684284301</v>
      </c>
      <c r="S615" s="17">
        <v>0.37851859073376398</v>
      </c>
      <c r="T615" s="17">
        <v>0.34519192019405398</v>
      </c>
      <c r="U615" s="17">
        <v>0.59969292219401305</v>
      </c>
      <c r="V615" s="17">
        <v>0.31872862006834002</v>
      </c>
      <c r="W615" s="17"/>
      <c r="X615" s="17">
        <v>0.397538992818669</v>
      </c>
      <c r="Y615" s="17">
        <v>0.35899523796952698</v>
      </c>
    </row>
    <row r="616" spans="2:25" x14ac:dyDescent="0.35">
      <c r="B616" t="s">
        <v>277</v>
      </c>
      <c r="C616" s="17">
        <v>0.39701414453459399</v>
      </c>
      <c r="D616" s="17">
        <v>0.40298538725720401</v>
      </c>
      <c r="E616" s="17">
        <v>0.39085627698284398</v>
      </c>
      <c r="F616" s="17"/>
      <c r="G616" s="17">
        <v>0.41613456046706998</v>
      </c>
      <c r="H616" s="17">
        <v>0.42276527955933901</v>
      </c>
      <c r="I616" s="17">
        <v>0.38022233634004399</v>
      </c>
      <c r="J616" s="17">
        <v>0.404533849375247</v>
      </c>
      <c r="K616" s="17">
        <v>0.34603108934989002</v>
      </c>
      <c r="L616" s="17">
        <v>0.48252913064265901</v>
      </c>
      <c r="M616" s="17"/>
      <c r="N616" s="17">
        <v>0.339280059396255</v>
      </c>
      <c r="O616" s="17">
        <v>0.30601487060948801</v>
      </c>
      <c r="P616" s="17">
        <v>0.42972482680249502</v>
      </c>
      <c r="Q616" s="17">
        <v>0.39951765688388902</v>
      </c>
      <c r="R616" s="17">
        <v>0.45730012391283298</v>
      </c>
      <c r="S616" s="17">
        <v>0.41126335568481998</v>
      </c>
      <c r="T616" s="17">
        <v>0.44571879955124799</v>
      </c>
      <c r="U616" s="17">
        <v>0.29394682628147401</v>
      </c>
      <c r="V616" s="17">
        <v>0.33691158389486398</v>
      </c>
      <c r="W616" s="17"/>
      <c r="X616" s="17">
        <v>0.40053795990369301</v>
      </c>
      <c r="Y616" s="17">
        <v>0.39402834251641899</v>
      </c>
    </row>
    <row r="617" spans="2:25" x14ac:dyDescent="0.35">
      <c r="B617" t="s">
        <v>278</v>
      </c>
      <c r="C617" s="17">
        <v>0.15787380560679801</v>
      </c>
      <c r="D617" s="17">
        <v>0.17567932501441599</v>
      </c>
      <c r="E617" s="17">
        <v>0.14015844425245499</v>
      </c>
      <c r="F617" s="17"/>
      <c r="G617" s="17">
        <v>0.19758781749054499</v>
      </c>
      <c r="H617" s="17">
        <v>0.16543146729810199</v>
      </c>
      <c r="I617" s="17">
        <v>0.15411476625581699</v>
      </c>
      <c r="J617" s="17">
        <v>0.153720559884054</v>
      </c>
      <c r="K617" s="17">
        <v>0.156232693631259</v>
      </c>
      <c r="L617" s="17">
        <v>9.9391798054527206E-2</v>
      </c>
      <c r="M617" s="17"/>
      <c r="N617" s="17">
        <v>0.31580080349503398</v>
      </c>
      <c r="O617" s="17">
        <v>0.16627862353744399</v>
      </c>
      <c r="P617" s="17">
        <v>0.133465941786688</v>
      </c>
      <c r="Q617" s="17">
        <v>0.23583769176009201</v>
      </c>
      <c r="R617" s="17">
        <v>0.14882037755309599</v>
      </c>
      <c r="S617" s="17">
        <v>0.13707990524470201</v>
      </c>
      <c r="T617" s="17">
        <v>0.15846626204963199</v>
      </c>
      <c r="U617" s="17">
        <v>8.3550851927443506E-2</v>
      </c>
      <c r="V617" s="17">
        <v>0.26501182390155797</v>
      </c>
      <c r="W617" s="17"/>
      <c r="X617" s="17">
        <v>0.13966900912163999</v>
      </c>
      <c r="Y617" s="17">
        <v>0.173299108124777</v>
      </c>
    </row>
    <row r="618" spans="2:25" x14ac:dyDescent="0.35">
      <c r="B618" t="s">
        <v>279</v>
      </c>
      <c r="C618" s="17">
        <v>3.3752843371374498E-2</v>
      </c>
      <c r="D618" s="17">
        <v>3.8312976713418503E-2</v>
      </c>
      <c r="E618" s="17">
        <v>2.9179473980253601E-2</v>
      </c>
      <c r="F618" s="17"/>
      <c r="G618" s="17">
        <v>4.6751945092671499E-2</v>
      </c>
      <c r="H618" s="17">
        <v>5.09532685948293E-2</v>
      </c>
      <c r="I618" s="17">
        <v>2.5523230473339199E-2</v>
      </c>
      <c r="J618" s="17">
        <v>3.4855393039307202E-2</v>
      </c>
      <c r="K618" s="17">
        <v>1.7079592965308001E-2</v>
      </c>
      <c r="L618" s="17">
        <v>0</v>
      </c>
      <c r="M618" s="17"/>
      <c r="N618" s="17">
        <v>1.80435809715562E-2</v>
      </c>
      <c r="O618" s="17">
        <v>9.4039877751204606E-2</v>
      </c>
      <c r="P618" s="17">
        <v>3.2889723213199801E-2</v>
      </c>
      <c r="Q618" s="17">
        <v>7.8544239982957204E-2</v>
      </c>
      <c r="R618" s="17">
        <v>3.3587618886993797E-2</v>
      </c>
      <c r="S618" s="17">
        <v>3.0850141238010699E-2</v>
      </c>
      <c r="T618" s="17">
        <v>2.66349806512923E-2</v>
      </c>
      <c r="U618" s="17">
        <v>9.59821417438818E-3</v>
      </c>
      <c r="V618" s="17">
        <v>4.1721860936277701E-2</v>
      </c>
      <c r="W618" s="17"/>
      <c r="X618" s="17">
        <v>3.6319213848408298E-2</v>
      </c>
      <c r="Y618" s="17">
        <v>3.1578304314388503E-2</v>
      </c>
    </row>
    <row r="619" spans="2:25" x14ac:dyDescent="0.35">
      <c r="B619" t="s">
        <v>280</v>
      </c>
      <c r="C619" s="17">
        <v>1.2679727957289499E-2</v>
      </c>
      <c r="D619" s="17">
        <v>1.4158565426089099E-2</v>
      </c>
      <c r="E619" s="17">
        <v>1.1206026663255399E-2</v>
      </c>
      <c r="F619" s="17"/>
      <c r="G619" s="17">
        <v>1.0186594600107001E-2</v>
      </c>
      <c r="H619" s="17">
        <v>7.92591291024425E-3</v>
      </c>
      <c r="I619" s="17">
        <v>1.55292477353126E-2</v>
      </c>
      <c r="J619" s="17">
        <v>1.1621785272604501E-2</v>
      </c>
      <c r="K619" s="17">
        <v>2.0886218814549998E-2</v>
      </c>
      <c r="L619" s="17">
        <v>0</v>
      </c>
      <c r="M619" s="17"/>
      <c r="N619" s="17">
        <v>3.3396501725117503E-2</v>
      </c>
      <c r="O619" s="17">
        <v>5.0943618985553302E-2</v>
      </c>
      <c r="P619" s="17">
        <v>1.6972939368202399E-2</v>
      </c>
      <c r="Q619" s="17">
        <v>1.00473837759228E-2</v>
      </c>
      <c r="R619" s="17">
        <v>3.5911470534395E-3</v>
      </c>
      <c r="S619" s="17">
        <v>1.58971356959236E-2</v>
      </c>
      <c r="T619" s="17">
        <v>1.43597690166703E-2</v>
      </c>
      <c r="U619" s="17">
        <v>2.5590035981818801E-3</v>
      </c>
      <c r="V619" s="17">
        <v>1.4598168264304399E-2</v>
      </c>
      <c r="W619" s="17"/>
      <c r="X619" s="17">
        <v>9.8192477446060397E-3</v>
      </c>
      <c r="Y619" s="17">
        <v>1.51034723074837E-2</v>
      </c>
    </row>
    <row r="620" spans="2:25" x14ac:dyDescent="0.35">
      <c r="B620" t="s">
        <v>162</v>
      </c>
      <c r="C620" s="17">
        <v>2.2005164484209899E-2</v>
      </c>
      <c r="D620" s="17">
        <v>1.7418896720120199E-2</v>
      </c>
      <c r="E620" s="17">
        <v>2.57561290461602E-2</v>
      </c>
      <c r="F620" s="17"/>
      <c r="G620" s="17">
        <v>2.28803825631828E-2</v>
      </c>
      <c r="H620" s="17">
        <v>1.3576076949231001E-2</v>
      </c>
      <c r="I620" s="17">
        <v>2.6038958086209599E-2</v>
      </c>
      <c r="J620" s="17">
        <v>1.9232657101925E-2</v>
      </c>
      <c r="K620" s="17">
        <v>2.3635292333749398E-2</v>
      </c>
      <c r="L620" s="17">
        <v>8.9156581598868898E-2</v>
      </c>
      <c r="M620" s="17"/>
      <c r="N620" s="17">
        <v>1.48896148907315E-2</v>
      </c>
      <c r="O620" s="17">
        <v>0.143076842192008</v>
      </c>
      <c r="P620" s="17">
        <v>3.61652129323295E-2</v>
      </c>
      <c r="Q620" s="17">
        <v>1.5561506049339899E-2</v>
      </c>
      <c r="R620" s="17">
        <v>1.90976357507943E-2</v>
      </c>
      <c r="S620" s="17">
        <v>2.6390871402779799E-2</v>
      </c>
      <c r="T620" s="17">
        <v>9.6282685371036208E-3</v>
      </c>
      <c r="U620" s="17">
        <v>1.06521818244995E-2</v>
      </c>
      <c r="V620" s="17">
        <v>2.3027942934656001E-2</v>
      </c>
      <c r="W620" s="17"/>
      <c r="X620" s="17">
        <v>1.6115576562984499E-2</v>
      </c>
      <c r="Y620" s="17">
        <v>2.6995534767404499E-2</v>
      </c>
    </row>
    <row r="621" spans="2:25" x14ac:dyDescent="0.35">
      <c r="B621" t="s">
        <v>281</v>
      </c>
      <c r="C621" s="17">
        <v>0.77368845858032897</v>
      </c>
      <c r="D621" s="17">
        <v>0.75443023612595606</v>
      </c>
      <c r="E621" s="17">
        <v>0.79369992605787598</v>
      </c>
      <c r="F621" s="17"/>
      <c r="G621" s="17">
        <v>0.72259326025349302</v>
      </c>
      <c r="H621" s="17">
        <v>0.76211327424759401</v>
      </c>
      <c r="I621" s="17">
        <v>0.77879379744932098</v>
      </c>
      <c r="J621" s="17">
        <v>0.78056960470210901</v>
      </c>
      <c r="K621" s="17">
        <v>0.782166202255134</v>
      </c>
      <c r="L621" s="17">
        <v>0.81145162034660401</v>
      </c>
      <c r="M621" s="17"/>
      <c r="N621" s="17">
        <v>0.61786949891756104</v>
      </c>
      <c r="O621" s="17">
        <v>0.54566103753379003</v>
      </c>
      <c r="P621" s="17">
        <v>0.78050618269958005</v>
      </c>
      <c r="Q621" s="17">
        <v>0.66000917843168805</v>
      </c>
      <c r="R621" s="17">
        <v>0.79490322075567599</v>
      </c>
      <c r="S621" s="17">
        <v>0.78978194641858401</v>
      </c>
      <c r="T621" s="17">
        <v>0.79091071974530203</v>
      </c>
      <c r="U621" s="17">
        <v>0.89363974847548699</v>
      </c>
      <c r="V621" s="17">
        <v>0.65564020396320399</v>
      </c>
      <c r="W621" s="17"/>
      <c r="X621" s="17">
        <v>0.79807695272236101</v>
      </c>
      <c r="Y621" s="17">
        <v>0.75302358048594598</v>
      </c>
    </row>
    <row r="622" spans="2:25" x14ac:dyDescent="0.35">
      <c r="B622" t="s">
        <v>282</v>
      </c>
      <c r="C622" s="17">
        <v>4.6432571328663998E-2</v>
      </c>
      <c r="D622" s="17">
        <v>5.2471542139507603E-2</v>
      </c>
      <c r="E622" s="17">
        <v>4.0385500643509001E-2</v>
      </c>
      <c r="F622" s="17"/>
      <c r="G622" s="17">
        <v>5.69385396927784E-2</v>
      </c>
      <c r="H622" s="17">
        <v>5.88791815050735E-2</v>
      </c>
      <c r="I622" s="17">
        <v>4.1052478208651801E-2</v>
      </c>
      <c r="J622" s="17">
        <v>4.6477178311911699E-2</v>
      </c>
      <c r="K622" s="17">
        <v>3.7965811779858E-2</v>
      </c>
      <c r="L622" s="17">
        <v>0</v>
      </c>
      <c r="M622" s="17"/>
      <c r="N622" s="17">
        <v>5.1440082696673703E-2</v>
      </c>
      <c r="O622" s="17">
        <v>0.14498349673675801</v>
      </c>
      <c r="P622" s="17">
        <v>4.9862662581402199E-2</v>
      </c>
      <c r="Q622" s="17">
        <v>8.8591623758879898E-2</v>
      </c>
      <c r="R622" s="17">
        <v>3.7178765940433303E-2</v>
      </c>
      <c r="S622" s="17">
        <v>4.6747276933934302E-2</v>
      </c>
      <c r="T622" s="17">
        <v>4.0994749667962502E-2</v>
      </c>
      <c r="U622" s="17">
        <v>1.21572177725701E-2</v>
      </c>
      <c r="V622" s="17">
        <v>5.63200292005821E-2</v>
      </c>
      <c r="W622" s="17"/>
      <c r="X622" s="17">
        <v>4.61384615930144E-2</v>
      </c>
      <c r="Y622" s="17">
        <v>4.6681776621872201E-2</v>
      </c>
    </row>
    <row r="623" spans="2:25" x14ac:dyDescent="0.35">
      <c r="B623" t="s">
        <v>92</v>
      </c>
      <c r="C623" s="17">
        <v>0.72725588725166401</v>
      </c>
      <c r="D623" s="17">
        <v>0.70195869398644894</v>
      </c>
      <c r="E623" s="17">
        <v>0.75331442541436699</v>
      </c>
      <c r="F623" s="17"/>
      <c r="G623" s="17">
        <v>0.66565472056071495</v>
      </c>
      <c r="H623" s="17">
        <v>0.70323409274252002</v>
      </c>
      <c r="I623" s="17">
        <v>0.73774131924066999</v>
      </c>
      <c r="J623" s="17">
        <v>0.73409242639019701</v>
      </c>
      <c r="K623" s="17">
        <v>0.74420039047527597</v>
      </c>
      <c r="L623" s="17">
        <v>0.81145162034660401</v>
      </c>
      <c r="M623" s="17"/>
      <c r="N623" s="17">
        <v>0.56642941622088705</v>
      </c>
      <c r="O623" s="17">
        <v>0.40067754079703199</v>
      </c>
      <c r="P623" s="17">
        <v>0.73064352011817801</v>
      </c>
      <c r="Q623" s="17">
        <v>0.57141755467280797</v>
      </c>
      <c r="R623" s="17">
        <v>0.75772445481524298</v>
      </c>
      <c r="S623" s="17">
        <v>0.74303466948464902</v>
      </c>
      <c r="T623" s="17">
        <v>0.74991597007733901</v>
      </c>
      <c r="U623" s="17">
        <v>0.88148253070291704</v>
      </c>
      <c r="V623" s="17">
        <v>0.599320174762622</v>
      </c>
      <c r="W623" s="17"/>
      <c r="X623" s="17">
        <v>0.75193849112934696</v>
      </c>
      <c r="Y623" s="17">
        <v>0.70634180386407397</v>
      </c>
    </row>
    <row r="624" spans="2:25" x14ac:dyDescent="0.35">
      <c r="C624" s="17"/>
      <c r="D624" s="17"/>
      <c r="E624" s="17"/>
      <c r="F624" s="17"/>
      <c r="G624" s="17"/>
      <c r="H624" s="17"/>
      <c r="I624" s="17"/>
      <c r="J624" s="17"/>
      <c r="K624" s="17"/>
      <c r="L624" s="17"/>
      <c r="M624" s="17"/>
      <c r="N624" s="17"/>
      <c r="O624" s="17"/>
      <c r="P624" s="17"/>
      <c r="Q624" s="17"/>
      <c r="R624" s="17"/>
      <c r="S624" s="17"/>
      <c r="T624" s="17"/>
      <c r="U624" s="17"/>
      <c r="V624" s="17"/>
      <c r="W624" s="17"/>
      <c r="X624" s="17"/>
      <c r="Y624" s="17"/>
    </row>
    <row r="625" spans="2:25" x14ac:dyDescent="0.35">
      <c r="B625" s="6" t="s">
        <v>286</v>
      </c>
      <c r="C625" s="17"/>
      <c r="D625" s="17"/>
      <c r="E625" s="17"/>
      <c r="F625" s="17"/>
      <c r="G625" s="17"/>
      <c r="H625" s="17"/>
      <c r="I625" s="17"/>
      <c r="J625" s="17"/>
      <c r="K625" s="17"/>
      <c r="L625" s="17"/>
      <c r="M625" s="17"/>
      <c r="N625" s="17"/>
      <c r="O625" s="17"/>
      <c r="P625" s="17"/>
      <c r="Q625" s="17"/>
      <c r="R625" s="17"/>
      <c r="S625" s="17"/>
      <c r="T625" s="17"/>
      <c r="U625" s="17"/>
      <c r="V625" s="17"/>
      <c r="W625" s="17"/>
      <c r="X625" s="17"/>
      <c r="Y625" s="17"/>
    </row>
    <row r="626" spans="2:25" x14ac:dyDescent="0.35">
      <c r="B626" s="24" t="s">
        <v>535</v>
      </c>
      <c r="C626" s="17"/>
      <c r="D626" s="17"/>
      <c r="E626" s="17"/>
      <c r="F626" s="17"/>
      <c r="G626" s="17"/>
      <c r="H626" s="17"/>
      <c r="I626" s="17"/>
      <c r="J626" s="17"/>
      <c r="K626" s="17"/>
      <c r="L626" s="17"/>
      <c r="M626" s="17"/>
      <c r="N626" s="17"/>
      <c r="O626" s="17"/>
      <c r="P626" s="17"/>
      <c r="Q626" s="17"/>
      <c r="R626" s="17"/>
      <c r="S626" s="17"/>
      <c r="T626" s="17"/>
      <c r="U626" s="17"/>
      <c r="V626" s="17"/>
      <c r="W626" s="17"/>
      <c r="X626" s="17"/>
      <c r="Y626" s="17"/>
    </row>
    <row r="627" spans="2:25" x14ac:dyDescent="0.35">
      <c r="B627" t="s">
        <v>276</v>
      </c>
      <c r="C627" s="17">
        <v>0.49262265202799599</v>
      </c>
      <c r="D627" s="17">
        <v>0.44474106573155903</v>
      </c>
      <c r="E627" s="17">
        <v>0.54107369519901805</v>
      </c>
      <c r="F627" s="17"/>
      <c r="G627" s="17">
        <v>0.39483789811074799</v>
      </c>
      <c r="H627" s="17">
        <v>0.48829030261448197</v>
      </c>
      <c r="I627" s="17">
        <v>0.50132196148908303</v>
      </c>
      <c r="J627" s="17">
        <v>0.50548062020538198</v>
      </c>
      <c r="K627" s="17">
        <v>0.4717551548178</v>
      </c>
      <c r="L627" s="17">
        <v>0.50971194977799195</v>
      </c>
      <c r="M627" s="17"/>
      <c r="N627" s="17">
        <v>0.81987955866314299</v>
      </c>
      <c r="O627" s="17">
        <v>0.69257263169949401</v>
      </c>
      <c r="P627" s="17">
        <v>0.38788847488426498</v>
      </c>
      <c r="Q627" s="17">
        <v>0.42076792908149302</v>
      </c>
      <c r="R627" s="17">
        <v>0.51192434317651903</v>
      </c>
      <c r="S627" s="17">
        <v>0.497895088373843</v>
      </c>
      <c r="T627" s="17">
        <v>0.43576634038283202</v>
      </c>
      <c r="U627" s="17">
        <v>0.57878400336967395</v>
      </c>
      <c r="V627" s="17">
        <v>0.53869053324972305</v>
      </c>
      <c r="W627" s="17"/>
      <c r="X627" s="17">
        <v>0.50474126678689502</v>
      </c>
      <c r="Y627" s="17">
        <v>0.48232931332712498</v>
      </c>
    </row>
    <row r="628" spans="2:25" x14ac:dyDescent="0.35">
      <c r="B628" t="s">
        <v>277</v>
      </c>
      <c r="C628" s="17">
        <v>0.28671815468393602</v>
      </c>
      <c r="D628" s="17">
        <v>0.31589383920145198</v>
      </c>
      <c r="E628" s="17">
        <v>0.25662304077693499</v>
      </c>
      <c r="F628" s="17"/>
      <c r="G628" s="17">
        <v>0.29646925353231401</v>
      </c>
      <c r="H628" s="17">
        <v>0.27737416748371702</v>
      </c>
      <c r="I628" s="17">
        <v>0.297924880799393</v>
      </c>
      <c r="J628" s="17">
        <v>0.26391572089132198</v>
      </c>
      <c r="K628" s="17">
        <v>0.350434705272342</v>
      </c>
      <c r="L628" s="17">
        <v>0.218916751448648</v>
      </c>
      <c r="M628" s="17"/>
      <c r="N628" s="17">
        <v>0.11229025591406</v>
      </c>
      <c r="O628" s="17">
        <v>0.16769148966568301</v>
      </c>
      <c r="P628" s="17">
        <v>0.31343044569741502</v>
      </c>
      <c r="Q628" s="17">
        <v>0.31053372159164899</v>
      </c>
      <c r="R628" s="17">
        <v>0.30259028630816798</v>
      </c>
      <c r="S628" s="17">
        <v>0.29881655779527699</v>
      </c>
      <c r="T628" s="17">
        <v>0.31912857846995502</v>
      </c>
      <c r="U628" s="17">
        <v>0.244834381760828</v>
      </c>
      <c r="V628" s="17">
        <v>0.26300727289327402</v>
      </c>
      <c r="W628" s="17"/>
      <c r="X628" s="17">
        <v>0.28378007405439898</v>
      </c>
      <c r="Y628" s="17">
        <v>0.28921370880888903</v>
      </c>
    </row>
    <row r="629" spans="2:25" x14ac:dyDescent="0.35">
      <c r="B629" t="s">
        <v>278</v>
      </c>
      <c r="C629" s="17">
        <v>0.135719849544888</v>
      </c>
      <c r="D629" s="17">
        <v>0.15081991742568901</v>
      </c>
      <c r="E629" s="17">
        <v>0.120671691777525</v>
      </c>
      <c r="F629" s="17"/>
      <c r="G629" s="17">
        <v>0.17734966480061801</v>
      </c>
      <c r="H629" s="17">
        <v>0.15089588794407999</v>
      </c>
      <c r="I629" s="17">
        <v>0.13141237412805101</v>
      </c>
      <c r="J629" s="17">
        <v>0.13073391317454</v>
      </c>
      <c r="K629" s="17">
        <v>0.10532016393667699</v>
      </c>
      <c r="L629" s="17">
        <v>0.1195795247109</v>
      </c>
      <c r="M629" s="17"/>
      <c r="N629" s="17">
        <v>3.4203368781489801E-2</v>
      </c>
      <c r="O629" s="17">
        <v>4.5889651571512501E-2</v>
      </c>
      <c r="P629" s="17">
        <v>0.16166906751560101</v>
      </c>
      <c r="Q629" s="17">
        <v>0.15390627117307201</v>
      </c>
      <c r="R629" s="17">
        <v>0.13932084092154501</v>
      </c>
      <c r="S629" s="17">
        <v>0.10873593566894001</v>
      </c>
      <c r="T629" s="17">
        <v>0.181077752524921</v>
      </c>
      <c r="U629" s="17">
        <v>0.100853200638998</v>
      </c>
      <c r="V629" s="17">
        <v>0.111086796532714</v>
      </c>
      <c r="W629" s="17"/>
      <c r="X629" s="17">
        <v>0.13104904642822399</v>
      </c>
      <c r="Y629" s="17">
        <v>0.139687147742036</v>
      </c>
    </row>
    <row r="630" spans="2:25" x14ac:dyDescent="0.35">
      <c r="B630" t="s">
        <v>279</v>
      </c>
      <c r="C630" s="17">
        <v>4.0111248447766E-2</v>
      </c>
      <c r="D630" s="17">
        <v>4.8799033367563999E-2</v>
      </c>
      <c r="E630" s="17">
        <v>3.12468168170589E-2</v>
      </c>
      <c r="F630" s="17"/>
      <c r="G630" s="17">
        <v>8.5491502144386305E-2</v>
      </c>
      <c r="H630" s="17">
        <v>4.0309361447408702E-2</v>
      </c>
      <c r="I630" s="17">
        <v>3.5065499618849701E-2</v>
      </c>
      <c r="J630" s="17">
        <v>3.8998351951198697E-2</v>
      </c>
      <c r="K630" s="17">
        <v>4.27780885431897E-2</v>
      </c>
      <c r="L630" s="17">
        <v>3.1634849474201199E-2</v>
      </c>
      <c r="M630" s="17"/>
      <c r="N630" s="17">
        <v>3.3626816641307199E-2</v>
      </c>
      <c r="O630" s="17">
        <v>1.5418636836969901E-2</v>
      </c>
      <c r="P630" s="17">
        <v>4.4137731646377902E-2</v>
      </c>
      <c r="Q630" s="17">
        <v>5.33155289764458E-2</v>
      </c>
      <c r="R630" s="17">
        <v>2.5082827143099101E-2</v>
      </c>
      <c r="S630" s="17">
        <v>4.2784544628122499E-2</v>
      </c>
      <c r="T630" s="17">
        <v>3.9804136803662203E-2</v>
      </c>
      <c r="U630" s="17">
        <v>3.8795606221829801E-2</v>
      </c>
      <c r="V630" s="17">
        <v>5.2110681456225799E-2</v>
      </c>
      <c r="W630" s="17"/>
      <c r="X630" s="17">
        <v>4.3777449670386603E-2</v>
      </c>
      <c r="Y630" s="17">
        <v>3.6997241469182297E-2</v>
      </c>
    </row>
    <row r="631" spans="2:25" x14ac:dyDescent="0.35">
      <c r="B631" t="s">
        <v>280</v>
      </c>
      <c r="C631" s="17">
        <v>2.6629742765222002E-2</v>
      </c>
      <c r="D631" s="17">
        <v>2.6871187950006498E-2</v>
      </c>
      <c r="E631" s="17">
        <v>2.65221429289541E-2</v>
      </c>
      <c r="F631" s="17"/>
      <c r="G631" s="17">
        <v>2.2756828910311101E-2</v>
      </c>
      <c r="H631" s="17">
        <v>2.7766018023945099E-2</v>
      </c>
      <c r="I631" s="17">
        <v>2.32279750977754E-2</v>
      </c>
      <c r="J631" s="17">
        <v>3.5606499301620201E-2</v>
      </c>
      <c r="K631" s="17">
        <v>7.1651071830229904E-3</v>
      </c>
      <c r="L631" s="17">
        <v>3.9425459109096998E-2</v>
      </c>
      <c r="M631" s="17"/>
      <c r="N631" s="17">
        <v>0</v>
      </c>
      <c r="O631" s="17">
        <v>6.36628298030774E-2</v>
      </c>
      <c r="P631" s="17">
        <v>5.6880011614053302E-2</v>
      </c>
      <c r="Q631" s="17">
        <v>3.5901227642885399E-2</v>
      </c>
      <c r="R631" s="17">
        <v>1.2745859435167799E-2</v>
      </c>
      <c r="S631" s="17">
        <v>1.59548556482982E-2</v>
      </c>
      <c r="T631" s="17">
        <v>1.7216652742832999E-2</v>
      </c>
      <c r="U631" s="17">
        <v>2.2774889991937601E-2</v>
      </c>
      <c r="V631" s="17">
        <v>2.6327279736200401E-2</v>
      </c>
      <c r="W631" s="17"/>
      <c r="X631" s="17">
        <v>1.7695386887302499E-2</v>
      </c>
      <c r="Y631" s="17">
        <v>3.4218427854662802E-2</v>
      </c>
    </row>
    <row r="632" spans="2:25" x14ac:dyDescent="0.35">
      <c r="B632" t="s">
        <v>162</v>
      </c>
      <c r="C632" s="17">
        <v>1.8198352530192301E-2</v>
      </c>
      <c r="D632" s="17">
        <v>1.2874956323729699E-2</v>
      </c>
      <c r="E632" s="17">
        <v>2.38626125005089E-2</v>
      </c>
      <c r="F632" s="17"/>
      <c r="G632" s="17">
        <v>2.3094852501622201E-2</v>
      </c>
      <c r="H632" s="17">
        <v>1.53642624863674E-2</v>
      </c>
      <c r="I632" s="17">
        <v>1.1047308866847801E-2</v>
      </c>
      <c r="J632" s="17">
        <v>2.5264894475937199E-2</v>
      </c>
      <c r="K632" s="17">
        <v>2.2546780246968701E-2</v>
      </c>
      <c r="L632" s="17">
        <v>8.0731465479162004E-2</v>
      </c>
      <c r="M632" s="17"/>
      <c r="N632" s="17">
        <v>0</v>
      </c>
      <c r="O632" s="17">
        <v>1.4764760423263801E-2</v>
      </c>
      <c r="P632" s="17">
        <v>3.5994268642287899E-2</v>
      </c>
      <c r="Q632" s="17">
        <v>2.5575321534453899E-2</v>
      </c>
      <c r="R632" s="17">
        <v>8.3358430155006207E-3</v>
      </c>
      <c r="S632" s="17">
        <v>3.5813017885518397E-2</v>
      </c>
      <c r="T632" s="17">
        <v>7.0065390757963102E-3</v>
      </c>
      <c r="U632" s="17">
        <v>1.39579180167324E-2</v>
      </c>
      <c r="V632" s="17">
        <v>8.7774361318629507E-3</v>
      </c>
      <c r="W632" s="17"/>
      <c r="X632" s="17">
        <v>1.8956776172792799E-2</v>
      </c>
      <c r="Y632" s="17">
        <v>1.7554160798105001E-2</v>
      </c>
    </row>
    <row r="633" spans="2:25" x14ac:dyDescent="0.35">
      <c r="B633" t="s">
        <v>281</v>
      </c>
      <c r="C633" s="17">
        <v>0.77934080671193096</v>
      </c>
      <c r="D633" s="17">
        <v>0.760634904933011</v>
      </c>
      <c r="E633" s="17">
        <v>0.79769673597595303</v>
      </c>
      <c r="F633" s="17"/>
      <c r="G633" s="17">
        <v>0.691307151643063</v>
      </c>
      <c r="H633" s="17">
        <v>0.76566447009819805</v>
      </c>
      <c r="I633" s="17">
        <v>0.79924684228847598</v>
      </c>
      <c r="J633" s="17">
        <v>0.76939634109670396</v>
      </c>
      <c r="K633" s="17">
        <v>0.82218986009014206</v>
      </c>
      <c r="L633" s="17">
        <v>0.72862870122664003</v>
      </c>
      <c r="M633" s="17"/>
      <c r="N633" s="17">
        <v>0.93216981457720305</v>
      </c>
      <c r="O633" s="17">
        <v>0.86026412136517605</v>
      </c>
      <c r="P633" s="17">
        <v>0.70131892058167999</v>
      </c>
      <c r="Q633" s="17">
        <v>0.73130165067314301</v>
      </c>
      <c r="R633" s="17">
        <v>0.814514629484687</v>
      </c>
      <c r="S633" s="17">
        <v>0.79671164616912105</v>
      </c>
      <c r="T633" s="17">
        <v>0.75489491885278703</v>
      </c>
      <c r="U633" s="17">
        <v>0.82361838513050301</v>
      </c>
      <c r="V633" s="17">
        <v>0.80169780614299702</v>
      </c>
      <c r="W633" s="17"/>
      <c r="X633" s="17">
        <v>0.78852134084129399</v>
      </c>
      <c r="Y633" s="17">
        <v>0.771543022136014</v>
      </c>
    </row>
    <row r="634" spans="2:25" x14ac:dyDescent="0.35">
      <c r="B634" t="s">
        <v>282</v>
      </c>
      <c r="C634" s="17">
        <v>6.6740991212987905E-2</v>
      </c>
      <c r="D634" s="17">
        <v>7.5670221317570494E-2</v>
      </c>
      <c r="E634" s="17">
        <v>5.7768959746013003E-2</v>
      </c>
      <c r="F634" s="17"/>
      <c r="G634" s="17">
        <v>0.108248331054697</v>
      </c>
      <c r="H634" s="17">
        <v>6.8075379471353795E-2</v>
      </c>
      <c r="I634" s="17">
        <v>5.8293474716625097E-2</v>
      </c>
      <c r="J634" s="17">
        <v>7.4604851252818905E-2</v>
      </c>
      <c r="K634" s="17">
        <v>4.9943195726212697E-2</v>
      </c>
      <c r="L634" s="17">
        <v>7.1060308583298301E-2</v>
      </c>
      <c r="M634" s="17"/>
      <c r="N634" s="17">
        <v>3.3626816641307199E-2</v>
      </c>
      <c r="O634" s="17">
        <v>7.9081466640047296E-2</v>
      </c>
      <c r="P634" s="17">
        <v>0.101017743260431</v>
      </c>
      <c r="Q634" s="17">
        <v>8.9216756619331095E-2</v>
      </c>
      <c r="R634" s="17">
        <v>3.7828686578266803E-2</v>
      </c>
      <c r="S634" s="17">
        <v>5.8739400276420703E-2</v>
      </c>
      <c r="T634" s="17">
        <v>5.7020789546495101E-2</v>
      </c>
      <c r="U634" s="17">
        <v>6.1570496213767402E-2</v>
      </c>
      <c r="V634" s="17">
        <v>7.84379611924262E-2</v>
      </c>
      <c r="W634" s="17"/>
      <c r="X634" s="17">
        <v>6.1472836557689099E-2</v>
      </c>
      <c r="Y634" s="17">
        <v>7.1215669323845099E-2</v>
      </c>
    </row>
    <row r="635" spans="2:25" x14ac:dyDescent="0.35">
      <c r="B635" t="s">
        <v>92</v>
      </c>
      <c r="C635" s="17">
        <v>0.71259981549894302</v>
      </c>
      <c r="D635" s="17">
        <v>0.68496468361544105</v>
      </c>
      <c r="E635" s="17">
        <v>0.73992777622993999</v>
      </c>
      <c r="F635" s="17"/>
      <c r="G635" s="17">
        <v>0.583058820588365</v>
      </c>
      <c r="H635" s="17">
        <v>0.69758909062684504</v>
      </c>
      <c r="I635" s="17">
        <v>0.74095336757185104</v>
      </c>
      <c r="J635" s="17">
        <v>0.69479148984388495</v>
      </c>
      <c r="K635" s="17">
        <v>0.77224666436392897</v>
      </c>
      <c r="L635" s="17">
        <v>0.65756839264334199</v>
      </c>
      <c r="M635" s="17"/>
      <c r="N635" s="17">
        <v>0.89854299793589598</v>
      </c>
      <c r="O635" s="17">
        <v>0.78118265472512904</v>
      </c>
      <c r="P635" s="17">
        <v>0.60030117732124899</v>
      </c>
      <c r="Q635" s="17">
        <v>0.64208489405381197</v>
      </c>
      <c r="R635" s="17">
        <v>0.77668594290642001</v>
      </c>
      <c r="S635" s="17">
        <v>0.73797224589270005</v>
      </c>
      <c r="T635" s="17">
        <v>0.697874129306292</v>
      </c>
      <c r="U635" s="17">
        <v>0.76204788891673503</v>
      </c>
      <c r="V635" s="17">
        <v>0.72325984495057105</v>
      </c>
      <c r="W635" s="17"/>
      <c r="X635" s="17">
        <v>0.72704850428360501</v>
      </c>
      <c r="Y635" s="17">
        <v>0.70032735281216896</v>
      </c>
    </row>
    <row r="636" spans="2:25" x14ac:dyDescent="0.35">
      <c r="C636" s="17"/>
      <c r="D636" s="17"/>
      <c r="E636" s="17"/>
      <c r="F636" s="17"/>
      <c r="G636" s="17"/>
      <c r="H636" s="17"/>
      <c r="I636" s="17"/>
      <c r="J636" s="17"/>
      <c r="K636" s="17"/>
      <c r="L636" s="17"/>
      <c r="M636" s="17"/>
      <c r="N636" s="17"/>
      <c r="O636" s="17"/>
      <c r="P636" s="17"/>
      <c r="Q636" s="17"/>
      <c r="R636" s="17"/>
      <c r="S636" s="17"/>
      <c r="T636" s="17"/>
      <c r="U636" s="17"/>
      <c r="V636" s="17"/>
      <c r="W636" s="17"/>
      <c r="X636" s="17"/>
      <c r="Y636" s="17"/>
    </row>
    <row r="637" spans="2:25" x14ac:dyDescent="0.35">
      <c r="B637" s="6" t="s">
        <v>287</v>
      </c>
      <c r="C637" s="17"/>
      <c r="D637" s="17"/>
      <c r="E637" s="17"/>
      <c r="F637" s="17"/>
      <c r="G637" s="17"/>
      <c r="H637" s="17"/>
      <c r="I637" s="17"/>
      <c r="J637" s="17"/>
      <c r="K637" s="17"/>
      <c r="L637" s="17"/>
      <c r="M637" s="17"/>
      <c r="N637" s="17"/>
      <c r="O637" s="17"/>
      <c r="P637" s="17"/>
      <c r="Q637" s="17"/>
      <c r="R637" s="17"/>
      <c r="S637" s="17"/>
      <c r="T637" s="17"/>
      <c r="U637" s="17"/>
      <c r="V637" s="17"/>
      <c r="W637" s="17"/>
      <c r="X637" s="17"/>
      <c r="Y637" s="17"/>
    </row>
    <row r="638" spans="2:25" x14ac:dyDescent="0.35">
      <c r="B638" s="24" t="s">
        <v>535</v>
      </c>
      <c r="C638" s="17"/>
      <c r="D638" s="17"/>
      <c r="E638" s="17"/>
      <c r="F638" s="17"/>
      <c r="G638" s="17"/>
      <c r="H638" s="17"/>
      <c r="I638" s="17"/>
      <c r="J638" s="17"/>
      <c r="K638" s="17"/>
      <c r="L638" s="17"/>
      <c r="M638" s="17"/>
      <c r="N638" s="17"/>
      <c r="O638" s="17"/>
      <c r="P638" s="17"/>
      <c r="Q638" s="17"/>
      <c r="R638" s="17"/>
      <c r="S638" s="17"/>
      <c r="T638" s="17"/>
      <c r="U638" s="17"/>
      <c r="V638" s="17"/>
      <c r="W638" s="17"/>
      <c r="X638" s="17"/>
      <c r="Y638" s="17"/>
    </row>
    <row r="639" spans="2:25" x14ac:dyDescent="0.35">
      <c r="B639" t="s">
        <v>276</v>
      </c>
      <c r="C639" s="17">
        <v>0.55240323260421498</v>
      </c>
      <c r="D639" s="17">
        <v>0.50852111261278199</v>
      </c>
      <c r="E639" s="17">
        <v>0.59584527970346401</v>
      </c>
      <c r="F639" s="17"/>
      <c r="G639" s="17">
        <v>0.46030195500480298</v>
      </c>
      <c r="H639" s="17">
        <v>0.53133455299254295</v>
      </c>
      <c r="I639" s="17">
        <v>0.55595468381173896</v>
      </c>
      <c r="J639" s="17">
        <v>0.56485389107373096</v>
      </c>
      <c r="K639" s="17">
        <v>0.57843131390761005</v>
      </c>
      <c r="L639" s="17">
        <v>0.72342030973739502</v>
      </c>
      <c r="M639" s="17"/>
      <c r="N639" s="17">
        <v>0.67187077615139601</v>
      </c>
      <c r="O639" s="17">
        <v>0.71128027908902003</v>
      </c>
      <c r="P639" s="17">
        <v>0.51784504556491895</v>
      </c>
      <c r="Q639" s="17">
        <v>0.46800635964572501</v>
      </c>
      <c r="R639" s="17">
        <v>0.58626340564550505</v>
      </c>
      <c r="S639" s="17">
        <v>0.57910407700250199</v>
      </c>
      <c r="T639" s="17">
        <v>0.50509877582405704</v>
      </c>
      <c r="U639" s="17">
        <v>0.61652675752415698</v>
      </c>
      <c r="V639" s="17">
        <v>0.52104044165152896</v>
      </c>
      <c r="W639" s="17"/>
      <c r="X639" s="17">
        <v>0.58684073712260398</v>
      </c>
      <c r="Y639" s="17">
        <v>0.52315262062645296</v>
      </c>
    </row>
    <row r="640" spans="2:25" x14ac:dyDescent="0.35">
      <c r="B640" t="s">
        <v>277</v>
      </c>
      <c r="C640" s="17">
        <v>0.32762446166548098</v>
      </c>
      <c r="D640" s="17">
        <v>0.35705697944920001</v>
      </c>
      <c r="E640" s="17">
        <v>0.29863618675702902</v>
      </c>
      <c r="F640" s="17"/>
      <c r="G640" s="17">
        <v>0.35438159630260102</v>
      </c>
      <c r="H640" s="17">
        <v>0.33005061865940799</v>
      </c>
      <c r="I640" s="17">
        <v>0.32289883616549198</v>
      </c>
      <c r="J640" s="17">
        <v>0.32295769332787899</v>
      </c>
      <c r="K640" s="17">
        <v>0.36263965121273301</v>
      </c>
      <c r="L640" s="17">
        <v>0.242135193947249</v>
      </c>
      <c r="M640" s="17"/>
      <c r="N640" s="17">
        <v>0.16928046658439899</v>
      </c>
      <c r="O640" s="17">
        <v>0.23974842541783001</v>
      </c>
      <c r="P640" s="17">
        <v>0.33331376193651802</v>
      </c>
      <c r="Q640" s="17">
        <v>0.349863275149709</v>
      </c>
      <c r="R640" s="17">
        <v>0.32796693071035099</v>
      </c>
      <c r="S640" s="17">
        <v>0.29136170211746898</v>
      </c>
      <c r="T640" s="17">
        <v>0.39416857154205598</v>
      </c>
      <c r="U640" s="17">
        <v>0.28709146424280602</v>
      </c>
      <c r="V640" s="17">
        <v>0.34195491996775901</v>
      </c>
      <c r="W640" s="17"/>
      <c r="X640" s="17">
        <v>0.304350414413736</v>
      </c>
      <c r="Y640" s="17">
        <v>0.34739302895378099</v>
      </c>
    </row>
    <row r="641" spans="2:25" x14ac:dyDescent="0.35">
      <c r="B641" t="s">
        <v>278</v>
      </c>
      <c r="C641" s="17">
        <v>8.8337533156382306E-2</v>
      </c>
      <c r="D641" s="17">
        <v>9.6215346179391897E-2</v>
      </c>
      <c r="E641" s="17">
        <v>8.0582141194534995E-2</v>
      </c>
      <c r="F641" s="17"/>
      <c r="G641" s="17">
        <v>0.160447758650509</v>
      </c>
      <c r="H641" s="17">
        <v>9.6406468094999906E-2</v>
      </c>
      <c r="I641" s="17">
        <v>0.102661688391479</v>
      </c>
      <c r="J641" s="17">
        <v>6.3729730528146497E-2</v>
      </c>
      <c r="K641" s="17">
        <v>4.3768062882627003E-2</v>
      </c>
      <c r="L641" s="17">
        <v>3.4444496315355899E-2</v>
      </c>
      <c r="M641" s="17"/>
      <c r="N641" s="17">
        <v>0.125125548028971</v>
      </c>
      <c r="O641" s="17">
        <v>0</v>
      </c>
      <c r="P641" s="17">
        <v>9.6024156361352406E-2</v>
      </c>
      <c r="Q641" s="17">
        <v>0.11617217617657399</v>
      </c>
      <c r="R641" s="17">
        <v>5.8706439990468602E-2</v>
      </c>
      <c r="S641" s="17">
        <v>9.1859688127241504E-2</v>
      </c>
      <c r="T641" s="17">
        <v>8.8986544535463993E-2</v>
      </c>
      <c r="U641" s="17">
        <v>7.7797765220226398E-2</v>
      </c>
      <c r="V641" s="17">
        <v>0.12112423079019601</v>
      </c>
      <c r="W641" s="17"/>
      <c r="X641" s="17">
        <v>8.0113807756136898E-2</v>
      </c>
      <c r="Y641" s="17">
        <v>9.5322621189279394E-2</v>
      </c>
    </row>
    <row r="642" spans="2:25" x14ac:dyDescent="0.35">
      <c r="B642" t="s">
        <v>279</v>
      </c>
      <c r="C642" s="17">
        <v>1.08555727727273E-2</v>
      </c>
      <c r="D642" s="17">
        <v>1.0754147532294801E-2</v>
      </c>
      <c r="E642" s="17">
        <v>1.1020641159631899E-2</v>
      </c>
      <c r="F642" s="17"/>
      <c r="G642" s="17">
        <v>1.3080640088606999E-2</v>
      </c>
      <c r="H642" s="17">
        <v>2.0432476289042802E-2</v>
      </c>
      <c r="I642" s="17">
        <v>7.8064864400847504E-3</v>
      </c>
      <c r="J642" s="17">
        <v>1.01284928657004E-2</v>
      </c>
      <c r="K642" s="17">
        <v>0</v>
      </c>
      <c r="L642" s="17">
        <v>0</v>
      </c>
      <c r="M642" s="17"/>
      <c r="N642" s="17">
        <v>0</v>
      </c>
      <c r="O642" s="17">
        <v>1.87878982329172E-2</v>
      </c>
      <c r="P642" s="17">
        <v>1.3844606783938101E-2</v>
      </c>
      <c r="Q642" s="17">
        <v>3.45117411363354E-2</v>
      </c>
      <c r="R642" s="17">
        <v>1.61371888304894E-2</v>
      </c>
      <c r="S642" s="17">
        <v>1.01174112154458E-2</v>
      </c>
      <c r="T642" s="17">
        <v>2.4435746264424999E-3</v>
      </c>
      <c r="U642" s="17">
        <v>5.7841118294370596E-3</v>
      </c>
      <c r="V642" s="17">
        <v>0</v>
      </c>
      <c r="W642" s="17"/>
      <c r="X642" s="17">
        <v>1.2613906277647399E-2</v>
      </c>
      <c r="Y642" s="17">
        <v>9.3620751514797308E-3</v>
      </c>
    </row>
    <row r="643" spans="2:25" x14ac:dyDescent="0.35">
      <c r="B643" t="s">
        <v>280</v>
      </c>
      <c r="C643" s="17">
        <v>9.7318244796854095E-3</v>
      </c>
      <c r="D643" s="17">
        <v>1.68004862742516E-2</v>
      </c>
      <c r="E643" s="17">
        <v>2.39488175760577E-3</v>
      </c>
      <c r="F643" s="17"/>
      <c r="G643" s="17">
        <v>0</v>
      </c>
      <c r="H643" s="17">
        <v>1.24089081883324E-2</v>
      </c>
      <c r="I643" s="17">
        <v>4.1616143165530504E-3</v>
      </c>
      <c r="J643" s="17">
        <v>1.81920145315684E-2</v>
      </c>
      <c r="K643" s="17">
        <v>7.1651071830229904E-3</v>
      </c>
      <c r="L643" s="17">
        <v>0</v>
      </c>
      <c r="M643" s="17"/>
      <c r="N643" s="17">
        <v>3.3723209235233503E-2</v>
      </c>
      <c r="O643" s="17">
        <v>1.5418636836969901E-2</v>
      </c>
      <c r="P643" s="17">
        <v>1.08691427550327E-2</v>
      </c>
      <c r="Q643" s="17">
        <v>1.5884941842317001E-2</v>
      </c>
      <c r="R643" s="17">
        <v>1.0926034823186199E-2</v>
      </c>
      <c r="S643" s="17">
        <v>1.03949429917635E-2</v>
      </c>
      <c r="T643" s="17">
        <v>6.8929060754363298E-3</v>
      </c>
      <c r="U643" s="17">
        <v>5.42499479345274E-3</v>
      </c>
      <c r="V643" s="17">
        <v>0</v>
      </c>
      <c r="W643" s="17"/>
      <c r="X643" s="17">
        <v>8.2291204179245799E-3</v>
      </c>
      <c r="Y643" s="17">
        <v>1.1008194938076201E-2</v>
      </c>
    </row>
    <row r="644" spans="2:25" x14ac:dyDescent="0.35">
      <c r="B644" t="s">
        <v>162</v>
      </c>
      <c r="C644" s="17">
        <v>1.1047375321508899E-2</v>
      </c>
      <c r="D644" s="17">
        <v>1.0651927952080101E-2</v>
      </c>
      <c r="E644" s="17">
        <v>1.15208694277342E-2</v>
      </c>
      <c r="F644" s="17"/>
      <c r="G644" s="17">
        <v>1.17880499534798E-2</v>
      </c>
      <c r="H644" s="17">
        <v>9.3669757756740905E-3</v>
      </c>
      <c r="I644" s="17">
        <v>6.5166908746517897E-3</v>
      </c>
      <c r="J644" s="17">
        <v>2.01381776729747E-2</v>
      </c>
      <c r="K644" s="17">
        <v>7.9958648140078595E-3</v>
      </c>
      <c r="L644" s="17">
        <v>0</v>
      </c>
      <c r="M644" s="17"/>
      <c r="N644" s="17">
        <v>0</v>
      </c>
      <c r="O644" s="17">
        <v>1.4764760423263801E-2</v>
      </c>
      <c r="P644" s="17">
        <v>2.8103286598240001E-2</v>
      </c>
      <c r="Q644" s="17">
        <v>1.5561506049339899E-2</v>
      </c>
      <c r="R644" s="17">
        <v>0</v>
      </c>
      <c r="S644" s="17">
        <v>1.7162178545577601E-2</v>
      </c>
      <c r="T644" s="17">
        <v>2.4096273965442702E-3</v>
      </c>
      <c r="U644" s="17">
        <v>7.3749063899203396E-3</v>
      </c>
      <c r="V644" s="17">
        <v>1.5880407590515899E-2</v>
      </c>
      <c r="W644" s="17"/>
      <c r="X644" s="17">
        <v>7.8520140119517599E-3</v>
      </c>
      <c r="Y644" s="17">
        <v>1.37614591409302E-2</v>
      </c>
    </row>
    <row r="645" spans="2:25" x14ac:dyDescent="0.35">
      <c r="B645" t="s">
        <v>281</v>
      </c>
      <c r="C645" s="17">
        <v>0.88002769426969596</v>
      </c>
      <c r="D645" s="17">
        <v>0.865578092061982</v>
      </c>
      <c r="E645" s="17">
        <v>0.89448146646049298</v>
      </c>
      <c r="F645" s="17"/>
      <c r="G645" s="17">
        <v>0.814683551307404</v>
      </c>
      <c r="H645" s="17">
        <v>0.86138517165195105</v>
      </c>
      <c r="I645" s="17">
        <v>0.87885351997723204</v>
      </c>
      <c r="J645" s="17">
        <v>0.88781158440161001</v>
      </c>
      <c r="K645" s="17">
        <v>0.94107096512034205</v>
      </c>
      <c r="L645" s="17">
        <v>0.96555550368464405</v>
      </c>
      <c r="M645" s="17"/>
      <c r="N645" s="17">
        <v>0.841151242735795</v>
      </c>
      <c r="O645" s="17">
        <v>0.95102870450684895</v>
      </c>
      <c r="P645" s="17">
        <v>0.85115880750143702</v>
      </c>
      <c r="Q645" s="17">
        <v>0.81786963479543295</v>
      </c>
      <c r="R645" s="17">
        <v>0.91423033635585604</v>
      </c>
      <c r="S645" s="17">
        <v>0.87046577911997103</v>
      </c>
      <c r="T645" s="17">
        <v>0.89926734736611302</v>
      </c>
      <c r="U645" s="17">
        <v>0.90361822176696305</v>
      </c>
      <c r="V645" s="17">
        <v>0.86299536161928803</v>
      </c>
      <c r="W645" s="17"/>
      <c r="X645" s="17">
        <v>0.89119115153633899</v>
      </c>
      <c r="Y645" s="17">
        <v>0.87054564958023395</v>
      </c>
    </row>
    <row r="646" spans="2:25" x14ac:dyDescent="0.35">
      <c r="B646" t="s">
        <v>282</v>
      </c>
      <c r="C646" s="17">
        <v>2.0587397252412699E-2</v>
      </c>
      <c r="D646" s="17">
        <v>2.7554633806546502E-2</v>
      </c>
      <c r="E646" s="17">
        <v>1.3415522917237599E-2</v>
      </c>
      <c r="F646" s="17"/>
      <c r="G646" s="17">
        <v>1.3080640088606999E-2</v>
      </c>
      <c r="H646" s="17">
        <v>3.28413844773753E-2</v>
      </c>
      <c r="I646" s="17">
        <v>1.19681007566378E-2</v>
      </c>
      <c r="J646" s="17">
        <v>2.8320507397268799E-2</v>
      </c>
      <c r="K646" s="17">
        <v>7.1651071830229904E-3</v>
      </c>
      <c r="L646" s="17">
        <v>0</v>
      </c>
      <c r="M646" s="17"/>
      <c r="N646" s="17">
        <v>3.3723209235233503E-2</v>
      </c>
      <c r="O646" s="17">
        <v>3.4206535069887099E-2</v>
      </c>
      <c r="P646" s="17">
        <v>2.4713749538970899E-2</v>
      </c>
      <c r="Q646" s="17">
        <v>5.03966829786524E-2</v>
      </c>
      <c r="R646" s="17">
        <v>2.7063223653675601E-2</v>
      </c>
      <c r="S646" s="17">
        <v>2.0512354207209298E-2</v>
      </c>
      <c r="T646" s="17">
        <v>9.3364807018788305E-3</v>
      </c>
      <c r="U646" s="17">
        <v>1.12091066228898E-2</v>
      </c>
      <c r="V646" s="17">
        <v>0</v>
      </c>
      <c r="W646" s="17"/>
      <c r="X646" s="17">
        <v>2.0843026695572E-2</v>
      </c>
      <c r="Y646" s="17">
        <v>2.03702700895559E-2</v>
      </c>
    </row>
    <row r="647" spans="2:25" x14ac:dyDescent="0.35">
      <c r="B647" t="s">
        <v>92</v>
      </c>
      <c r="C647" s="17">
        <v>0.85944029701728297</v>
      </c>
      <c r="D647" s="17">
        <v>0.83802345825543501</v>
      </c>
      <c r="E647" s="17">
        <v>0.88106594354325596</v>
      </c>
      <c r="F647" s="17"/>
      <c r="G647" s="17">
        <v>0.80160291121879701</v>
      </c>
      <c r="H647" s="17">
        <v>0.828543787174575</v>
      </c>
      <c r="I647" s="17">
        <v>0.86688541922059403</v>
      </c>
      <c r="J647" s="17">
        <v>0.85949107700434102</v>
      </c>
      <c r="K647" s="17">
        <v>0.93390585793731895</v>
      </c>
      <c r="L647" s="17">
        <v>0.96555550368464405</v>
      </c>
      <c r="M647" s="17"/>
      <c r="N647" s="17">
        <v>0.80742803350056203</v>
      </c>
      <c r="O647" s="17">
        <v>0.91682216943696204</v>
      </c>
      <c r="P647" s="17">
        <v>0.82644505796246603</v>
      </c>
      <c r="Q647" s="17">
        <v>0.76747295181678099</v>
      </c>
      <c r="R647" s="17">
        <v>0.88716711270217996</v>
      </c>
      <c r="S647" s="17">
        <v>0.84995342491276205</v>
      </c>
      <c r="T647" s="17">
        <v>0.88993086666423404</v>
      </c>
      <c r="U647" s="17">
        <v>0.89240911514407395</v>
      </c>
      <c r="V647" s="17">
        <v>0.86299536161928803</v>
      </c>
      <c r="W647" s="17"/>
      <c r="X647" s="17">
        <v>0.87034812484076696</v>
      </c>
      <c r="Y647" s="17">
        <v>0.85017537949067801</v>
      </c>
    </row>
    <row r="648" spans="2:25" x14ac:dyDescent="0.35">
      <c r="C648" s="17"/>
      <c r="D648" s="17"/>
      <c r="E648" s="17"/>
      <c r="F648" s="17"/>
      <c r="G648" s="17"/>
      <c r="H648" s="17"/>
      <c r="I648" s="17"/>
      <c r="J648" s="17"/>
      <c r="K648" s="17"/>
      <c r="L648" s="17"/>
      <c r="M648" s="17"/>
      <c r="N648" s="17"/>
      <c r="O648" s="17"/>
      <c r="P648" s="17"/>
      <c r="Q648" s="17"/>
      <c r="R648" s="17"/>
      <c r="S648" s="17"/>
      <c r="T648" s="17"/>
      <c r="U648" s="17"/>
      <c r="V648" s="17"/>
      <c r="W648" s="17"/>
      <c r="X648" s="17"/>
      <c r="Y648" s="17"/>
    </row>
    <row r="649" spans="2:25" x14ac:dyDescent="0.35">
      <c r="B649" s="6" t="s">
        <v>288</v>
      </c>
      <c r="C649" s="17"/>
      <c r="D649" s="17"/>
      <c r="E649" s="17"/>
      <c r="F649" s="17"/>
      <c r="G649" s="17"/>
      <c r="H649" s="17"/>
      <c r="I649" s="17"/>
      <c r="J649" s="17"/>
      <c r="K649" s="17"/>
      <c r="L649" s="17"/>
      <c r="M649" s="17"/>
      <c r="N649" s="17"/>
      <c r="O649" s="17"/>
      <c r="P649" s="17"/>
      <c r="Q649" s="17"/>
      <c r="R649" s="17"/>
      <c r="S649" s="17"/>
      <c r="T649" s="17"/>
      <c r="U649" s="17"/>
      <c r="V649" s="17"/>
      <c r="W649" s="17"/>
      <c r="X649" s="17"/>
      <c r="Y649" s="17"/>
    </row>
    <row r="650" spans="2:25" x14ac:dyDescent="0.35">
      <c r="B650" s="24" t="s">
        <v>535</v>
      </c>
      <c r="C650" s="17"/>
      <c r="D650" s="17"/>
      <c r="E650" s="17"/>
      <c r="F650" s="17"/>
      <c r="G650" s="17"/>
      <c r="H650" s="17"/>
      <c r="I650" s="17"/>
      <c r="J650" s="17"/>
      <c r="K650" s="17"/>
      <c r="L650" s="17"/>
      <c r="M650" s="17"/>
      <c r="N650" s="17"/>
      <c r="O650" s="17"/>
      <c r="P650" s="17"/>
      <c r="Q650" s="17"/>
      <c r="R650" s="17"/>
      <c r="S650" s="17"/>
      <c r="T650" s="17"/>
      <c r="U650" s="17"/>
      <c r="V650" s="17"/>
      <c r="W650" s="17"/>
      <c r="X650" s="17"/>
      <c r="Y650" s="17"/>
    </row>
    <row r="651" spans="2:25" x14ac:dyDescent="0.35">
      <c r="B651" t="s">
        <v>276</v>
      </c>
      <c r="C651" s="17">
        <v>0.50149092765187198</v>
      </c>
      <c r="D651" s="17">
        <v>0.47236994985881797</v>
      </c>
      <c r="E651" s="17">
        <v>0.52922420843057905</v>
      </c>
      <c r="F651" s="17"/>
      <c r="G651" s="17">
        <v>0.42427852345760703</v>
      </c>
      <c r="H651" s="17">
        <v>0.44922994510425901</v>
      </c>
      <c r="I651" s="17">
        <v>0.50692967155148705</v>
      </c>
      <c r="J651" s="17">
        <v>0.52874373699106703</v>
      </c>
      <c r="K651" s="17">
        <v>0.55519634167195098</v>
      </c>
      <c r="L651" s="17">
        <v>0.65518868970561395</v>
      </c>
      <c r="M651" s="17"/>
      <c r="N651" s="17">
        <v>0.61926054077482795</v>
      </c>
      <c r="O651" s="17">
        <v>0.51719197465920796</v>
      </c>
      <c r="P651" s="17">
        <v>0.47837532577400899</v>
      </c>
      <c r="Q651" s="17">
        <v>0.36549453153553002</v>
      </c>
      <c r="R651" s="17">
        <v>0.48939047145356201</v>
      </c>
      <c r="S651" s="17">
        <v>0.47510522295376301</v>
      </c>
      <c r="T651" s="17">
        <v>0.46223754097731701</v>
      </c>
      <c r="U651" s="17">
        <v>0.64060801743882401</v>
      </c>
      <c r="V651" s="17">
        <v>0.55101037470127701</v>
      </c>
      <c r="W651" s="17"/>
      <c r="X651" s="17">
        <v>0.53289832076034904</v>
      </c>
      <c r="Y651" s="17">
        <v>0.47481403912882197</v>
      </c>
    </row>
    <row r="652" spans="2:25" x14ac:dyDescent="0.35">
      <c r="B652" t="s">
        <v>277</v>
      </c>
      <c r="C652" s="17">
        <v>0.354951129844219</v>
      </c>
      <c r="D652" s="17">
        <v>0.371318741555135</v>
      </c>
      <c r="E652" s="17">
        <v>0.33977004473955102</v>
      </c>
      <c r="F652" s="17"/>
      <c r="G652" s="17">
        <v>0.341479086992243</v>
      </c>
      <c r="H652" s="17">
        <v>0.38015616011821901</v>
      </c>
      <c r="I652" s="17">
        <v>0.35261381900180799</v>
      </c>
      <c r="J652" s="17">
        <v>0.33782016763914702</v>
      </c>
      <c r="K652" s="17">
        <v>0.36922342044343598</v>
      </c>
      <c r="L652" s="17">
        <v>0.31036681397902999</v>
      </c>
      <c r="M652" s="17"/>
      <c r="N652" s="17">
        <v>0.33201158132006198</v>
      </c>
      <c r="O652" s="17">
        <v>0.33290883895443002</v>
      </c>
      <c r="P652" s="17">
        <v>0.39522344319427699</v>
      </c>
      <c r="Q652" s="17">
        <v>0.39135044546924103</v>
      </c>
      <c r="R652" s="17">
        <v>0.39296097966117099</v>
      </c>
      <c r="S652" s="17">
        <v>0.37008245341923202</v>
      </c>
      <c r="T652" s="17">
        <v>0.38913021099633199</v>
      </c>
      <c r="U652" s="17">
        <v>0.249292772901197</v>
      </c>
      <c r="V652" s="17">
        <v>0.27575159108521002</v>
      </c>
      <c r="W652" s="17"/>
      <c r="X652" s="17">
        <v>0.33666015405753102</v>
      </c>
      <c r="Y652" s="17">
        <v>0.37048716368039097</v>
      </c>
    </row>
    <row r="653" spans="2:25" x14ac:dyDescent="0.35">
      <c r="B653" t="s">
        <v>278</v>
      </c>
      <c r="C653" s="17">
        <v>0.100683370113029</v>
      </c>
      <c r="D653" s="17">
        <v>0.108508899915983</v>
      </c>
      <c r="E653" s="17">
        <v>9.30497757682099E-2</v>
      </c>
      <c r="F653" s="17"/>
      <c r="G653" s="17">
        <v>0.155031602431739</v>
      </c>
      <c r="H653" s="17">
        <v>0.120247519269117</v>
      </c>
      <c r="I653" s="17">
        <v>0.10717789395289801</v>
      </c>
      <c r="J653" s="17">
        <v>8.39200009047609E-2</v>
      </c>
      <c r="K653" s="17">
        <v>4.5449658491206801E-2</v>
      </c>
      <c r="L653" s="17">
        <v>3.4444496315355899E-2</v>
      </c>
      <c r="M653" s="17"/>
      <c r="N653" s="17">
        <v>1.7300879092872899E-2</v>
      </c>
      <c r="O653" s="17">
        <v>8.4933215643196294E-2</v>
      </c>
      <c r="P653" s="17">
        <v>8.4154351249034295E-2</v>
      </c>
      <c r="Q653" s="17">
        <v>0.13490874898014199</v>
      </c>
      <c r="R653" s="17">
        <v>9.3945471844266507E-2</v>
      </c>
      <c r="S653" s="17">
        <v>0.105332745022853</v>
      </c>
      <c r="T653" s="17">
        <v>0.13100211028754799</v>
      </c>
      <c r="U653" s="17">
        <v>6.7886902765274704E-2</v>
      </c>
      <c r="V653" s="17">
        <v>0.123739471263275</v>
      </c>
      <c r="W653" s="17"/>
      <c r="X653" s="17">
        <v>9.4103776700774494E-2</v>
      </c>
      <c r="Y653" s="17">
        <v>0.106271961288982</v>
      </c>
    </row>
    <row r="654" spans="2:25" x14ac:dyDescent="0.35">
      <c r="B654" t="s">
        <v>279</v>
      </c>
      <c r="C654" s="17">
        <v>1.9449161809854901E-2</v>
      </c>
      <c r="D654" s="17">
        <v>2.36760796713309E-2</v>
      </c>
      <c r="E654" s="17">
        <v>1.51359379484967E-2</v>
      </c>
      <c r="F654" s="17"/>
      <c r="G654" s="17">
        <v>4.9760622556455102E-2</v>
      </c>
      <c r="H654" s="17">
        <v>3.5186429259191403E-2</v>
      </c>
      <c r="I654" s="17">
        <v>1.0244211634428801E-2</v>
      </c>
      <c r="J654" s="17">
        <v>1.80025325152946E-2</v>
      </c>
      <c r="K654" s="17">
        <v>7.8597299064875892E-3</v>
      </c>
      <c r="L654" s="17">
        <v>0</v>
      </c>
      <c r="M654" s="17"/>
      <c r="N654" s="17">
        <v>0</v>
      </c>
      <c r="O654" s="17">
        <v>5.0201210319901803E-2</v>
      </c>
      <c r="P654" s="17">
        <v>4.2482653238093597E-3</v>
      </c>
      <c r="Q654" s="17">
        <v>7.7566943686792802E-2</v>
      </c>
      <c r="R654" s="17">
        <v>1.23403964235895E-2</v>
      </c>
      <c r="S654" s="17">
        <v>2.2220756481805801E-2</v>
      </c>
      <c r="T654" s="17">
        <v>1.06885802402913E-2</v>
      </c>
      <c r="U654" s="17">
        <v>1.49398844317632E-2</v>
      </c>
      <c r="V654" s="17">
        <v>1.1032344575433501E-2</v>
      </c>
      <c r="W654" s="17"/>
      <c r="X654" s="17">
        <v>2.2131336710726202E-2</v>
      </c>
      <c r="Y654" s="17">
        <v>1.7170969519818901E-2</v>
      </c>
    </row>
    <row r="655" spans="2:25" x14ac:dyDescent="0.35">
      <c r="B655" t="s">
        <v>280</v>
      </c>
      <c r="C655" s="17">
        <v>9.4541289651112193E-3</v>
      </c>
      <c r="D655" s="17">
        <v>1.04745735658271E-2</v>
      </c>
      <c r="E655" s="17">
        <v>8.4387278150569907E-3</v>
      </c>
      <c r="F655" s="17"/>
      <c r="G655" s="17">
        <v>1.76621146084762E-2</v>
      </c>
      <c r="H655" s="17">
        <v>5.8129704735402103E-3</v>
      </c>
      <c r="I655" s="17">
        <v>1.0839743339023E-2</v>
      </c>
      <c r="J655" s="17">
        <v>8.4104710811779403E-3</v>
      </c>
      <c r="K655" s="17">
        <v>1.42749846729104E-2</v>
      </c>
      <c r="L655" s="17">
        <v>0</v>
      </c>
      <c r="M655" s="17"/>
      <c r="N655" s="17">
        <v>3.1426998812237802E-2</v>
      </c>
      <c r="O655" s="17">
        <v>0</v>
      </c>
      <c r="P655" s="17">
        <v>1.30291017205445E-2</v>
      </c>
      <c r="Q655" s="17">
        <v>1.0385392704943699E-2</v>
      </c>
      <c r="R655" s="17">
        <v>0</v>
      </c>
      <c r="S655" s="17">
        <v>1.00966435767699E-2</v>
      </c>
      <c r="T655" s="17">
        <v>4.9601123379958596E-3</v>
      </c>
      <c r="U655" s="17">
        <v>1.52774999671833E-2</v>
      </c>
      <c r="V655" s="17">
        <v>9.6437837077887108E-3</v>
      </c>
      <c r="W655" s="17"/>
      <c r="X655" s="17">
        <v>6.7890935614763797E-3</v>
      </c>
      <c r="Y655" s="17">
        <v>1.17177632669838E-2</v>
      </c>
    </row>
    <row r="656" spans="2:25" x14ac:dyDescent="0.35">
      <c r="B656" t="s">
        <v>162</v>
      </c>
      <c r="C656" s="17">
        <v>1.39712816159139E-2</v>
      </c>
      <c r="D656" s="17">
        <v>1.36517554329068E-2</v>
      </c>
      <c r="E656" s="17">
        <v>1.4381305298106301E-2</v>
      </c>
      <c r="F656" s="17"/>
      <c r="G656" s="17">
        <v>1.17880499534798E-2</v>
      </c>
      <c r="H656" s="17">
        <v>9.3669757756740905E-3</v>
      </c>
      <c r="I656" s="17">
        <v>1.21946605203559E-2</v>
      </c>
      <c r="J656" s="17">
        <v>2.3103090868552899E-2</v>
      </c>
      <c r="K656" s="17">
        <v>7.9958648140078595E-3</v>
      </c>
      <c r="L656" s="17">
        <v>0</v>
      </c>
      <c r="M656" s="17"/>
      <c r="N656" s="17">
        <v>0</v>
      </c>
      <c r="O656" s="17">
        <v>1.4764760423263801E-2</v>
      </c>
      <c r="P656" s="17">
        <v>2.4969512738326E-2</v>
      </c>
      <c r="Q656" s="17">
        <v>2.02939376233497E-2</v>
      </c>
      <c r="R656" s="17">
        <v>1.1362680617410499E-2</v>
      </c>
      <c r="S656" s="17">
        <v>1.7162178545577601E-2</v>
      </c>
      <c r="T656" s="17">
        <v>1.98144516051561E-3</v>
      </c>
      <c r="U656" s="17">
        <v>1.19949224957579E-2</v>
      </c>
      <c r="V656" s="17">
        <v>2.8822434667016401E-2</v>
      </c>
      <c r="W656" s="17"/>
      <c r="X656" s="17">
        <v>7.41731820914224E-3</v>
      </c>
      <c r="Y656" s="17">
        <v>1.95381031150023E-2</v>
      </c>
    </row>
    <row r="657" spans="2:25" x14ac:dyDescent="0.35">
      <c r="B657" t="s">
        <v>281</v>
      </c>
      <c r="C657" s="17">
        <v>0.85644205749609004</v>
      </c>
      <c r="D657" s="17">
        <v>0.84368869141395297</v>
      </c>
      <c r="E657" s="17">
        <v>0.86899425317013002</v>
      </c>
      <c r="F657" s="17"/>
      <c r="G657" s="17">
        <v>0.76575761044985002</v>
      </c>
      <c r="H657" s="17">
        <v>0.82938610522247802</v>
      </c>
      <c r="I657" s="17">
        <v>0.85954349055329504</v>
      </c>
      <c r="J657" s="17">
        <v>0.86656390463021404</v>
      </c>
      <c r="K657" s="17">
        <v>0.92441976211538701</v>
      </c>
      <c r="L657" s="17">
        <v>0.96555550368464405</v>
      </c>
      <c r="M657" s="17"/>
      <c r="N657" s="17">
        <v>0.95127212209488898</v>
      </c>
      <c r="O657" s="17">
        <v>0.85010081361363798</v>
      </c>
      <c r="P657" s="17">
        <v>0.87359876896828603</v>
      </c>
      <c r="Q657" s="17">
        <v>0.75684497700477205</v>
      </c>
      <c r="R657" s="17">
        <v>0.88235145111473301</v>
      </c>
      <c r="S657" s="17">
        <v>0.84518767637299397</v>
      </c>
      <c r="T657" s="17">
        <v>0.851367751973649</v>
      </c>
      <c r="U657" s="17">
        <v>0.88990079034002101</v>
      </c>
      <c r="V657" s="17">
        <v>0.82676196578648697</v>
      </c>
      <c r="W657" s="17"/>
      <c r="X657" s="17">
        <v>0.86955847481788096</v>
      </c>
      <c r="Y657" s="17">
        <v>0.84530120280921295</v>
      </c>
    </row>
    <row r="658" spans="2:25" x14ac:dyDescent="0.35">
      <c r="B658" t="s">
        <v>282</v>
      </c>
      <c r="C658" s="17">
        <v>2.89032907749662E-2</v>
      </c>
      <c r="D658" s="17">
        <v>3.4150653237157901E-2</v>
      </c>
      <c r="E658" s="17">
        <v>2.3574665763553701E-2</v>
      </c>
      <c r="F658" s="17"/>
      <c r="G658" s="17">
        <v>6.7422737164931301E-2</v>
      </c>
      <c r="H658" s="17">
        <v>4.0999399732731603E-2</v>
      </c>
      <c r="I658" s="17">
        <v>2.10839549734517E-2</v>
      </c>
      <c r="J658" s="17">
        <v>2.6413003596472501E-2</v>
      </c>
      <c r="K658" s="17">
        <v>2.2134714579397901E-2</v>
      </c>
      <c r="L658" s="17">
        <v>0</v>
      </c>
      <c r="M658" s="17"/>
      <c r="N658" s="17">
        <v>3.1426998812237802E-2</v>
      </c>
      <c r="O658" s="17">
        <v>5.0201210319901803E-2</v>
      </c>
      <c r="P658" s="17">
        <v>1.72773670443538E-2</v>
      </c>
      <c r="Q658" s="17">
        <v>8.7952336391736496E-2</v>
      </c>
      <c r="R658" s="17">
        <v>1.23403964235895E-2</v>
      </c>
      <c r="S658" s="17">
        <v>3.2317400058575703E-2</v>
      </c>
      <c r="T658" s="17">
        <v>1.5648692578287202E-2</v>
      </c>
      <c r="U658" s="17">
        <v>3.0217384398946501E-2</v>
      </c>
      <c r="V658" s="17">
        <v>2.0676128283222302E-2</v>
      </c>
      <c r="W658" s="17"/>
      <c r="X658" s="17">
        <v>2.8920430272202601E-2</v>
      </c>
      <c r="Y658" s="17">
        <v>2.88887327868027E-2</v>
      </c>
    </row>
    <row r="659" spans="2:25" x14ac:dyDescent="0.35">
      <c r="B659" t="s">
        <v>92</v>
      </c>
      <c r="C659" s="17">
        <v>0.82753876672112403</v>
      </c>
      <c r="D659" s="17">
        <v>0.80953803817679504</v>
      </c>
      <c r="E659" s="17">
        <v>0.84541958740657597</v>
      </c>
      <c r="F659" s="17"/>
      <c r="G659" s="17">
        <v>0.69833487328491906</v>
      </c>
      <c r="H659" s="17">
        <v>0.78838670548974599</v>
      </c>
      <c r="I659" s="17">
        <v>0.83845953557984298</v>
      </c>
      <c r="J659" s="17">
        <v>0.84015090103374102</v>
      </c>
      <c r="K659" s="17">
        <v>0.90228504753598904</v>
      </c>
      <c r="L659" s="17">
        <v>0.96555550368464405</v>
      </c>
      <c r="M659" s="17"/>
      <c r="N659" s="17">
        <v>0.919845123282651</v>
      </c>
      <c r="O659" s="17">
        <v>0.79989960329373599</v>
      </c>
      <c r="P659" s="17">
        <v>0.85632140192393202</v>
      </c>
      <c r="Q659" s="17">
        <v>0.66889264061303499</v>
      </c>
      <c r="R659" s="17">
        <v>0.87001105469114404</v>
      </c>
      <c r="S659" s="17">
        <v>0.81287027631441799</v>
      </c>
      <c r="T659" s="17">
        <v>0.83571905939536195</v>
      </c>
      <c r="U659" s="17">
        <v>0.85968340594107395</v>
      </c>
      <c r="V659" s="17">
        <v>0.80608583750326401</v>
      </c>
      <c r="W659" s="17"/>
      <c r="X659" s="17">
        <v>0.84063804454567803</v>
      </c>
      <c r="Y659" s="17">
        <v>0.81641247002241002</v>
      </c>
    </row>
    <row r="660" spans="2:25" x14ac:dyDescent="0.35">
      <c r="C660" s="17"/>
      <c r="D660" s="17"/>
      <c r="E660" s="17"/>
      <c r="F660" s="17"/>
      <c r="G660" s="17"/>
      <c r="H660" s="17"/>
      <c r="I660" s="17"/>
      <c r="J660" s="17"/>
      <c r="K660" s="17"/>
      <c r="L660" s="17"/>
      <c r="M660" s="17"/>
      <c r="N660" s="17"/>
      <c r="O660" s="17"/>
      <c r="P660" s="17"/>
      <c r="Q660" s="17"/>
      <c r="R660" s="17"/>
      <c r="S660" s="17"/>
      <c r="T660" s="17"/>
      <c r="U660" s="17"/>
      <c r="V660" s="17"/>
      <c r="W660" s="17"/>
      <c r="X660" s="17"/>
      <c r="Y660" s="17"/>
    </row>
    <row r="661" spans="2:25" x14ac:dyDescent="0.35">
      <c r="B661" s="6" t="s">
        <v>289</v>
      </c>
      <c r="C661" s="17"/>
      <c r="D661" s="17"/>
      <c r="E661" s="17"/>
      <c r="F661" s="17"/>
      <c r="G661" s="17"/>
      <c r="H661" s="17"/>
      <c r="I661" s="17"/>
      <c r="J661" s="17"/>
      <c r="K661" s="17"/>
      <c r="L661" s="17"/>
      <c r="M661" s="17"/>
      <c r="N661" s="17"/>
      <c r="O661" s="17"/>
      <c r="P661" s="17"/>
      <c r="Q661" s="17"/>
      <c r="R661" s="17"/>
      <c r="S661" s="17"/>
      <c r="T661" s="17"/>
      <c r="U661" s="17"/>
      <c r="V661" s="17"/>
      <c r="W661" s="17"/>
      <c r="X661" s="17"/>
      <c r="Y661" s="17"/>
    </row>
    <row r="662" spans="2:25" x14ac:dyDescent="0.35">
      <c r="B662" s="24" t="s">
        <v>535</v>
      </c>
      <c r="C662" s="17"/>
      <c r="D662" s="17"/>
      <c r="E662" s="17"/>
      <c r="F662" s="17"/>
      <c r="G662" s="17"/>
      <c r="H662" s="17"/>
      <c r="I662" s="17"/>
      <c r="J662" s="17"/>
      <c r="K662" s="17"/>
      <c r="L662" s="17"/>
      <c r="M662" s="17"/>
      <c r="N662" s="17"/>
      <c r="O662" s="17"/>
      <c r="P662" s="17"/>
      <c r="Q662" s="17"/>
      <c r="R662" s="17"/>
      <c r="S662" s="17"/>
      <c r="T662" s="17"/>
      <c r="U662" s="17"/>
      <c r="V662" s="17"/>
      <c r="W662" s="17"/>
      <c r="X662" s="17"/>
      <c r="Y662" s="17"/>
    </row>
    <row r="663" spans="2:25" x14ac:dyDescent="0.35">
      <c r="B663" t="s">
        <v>276</v>
      </c>
      <c r="C663" s="17">
        <v>0.39613859382116101</v>
      </c>
      <c r="D663" s="17">
        <v>0.36728067898810801</v>
      </c>
      <c r="E663" s="17">
        <v>0.426377360104578</v>
      </c>
      <c r="F663" s="17"/>
      <c r="G663" s="17">
        <v>0.25628010934461198</v>
      </c>
      <c r="H663" s="17">
        <v>0.36810816796511298</v>
      </c>
      <c r="I663" s="17">
        <v>0.42343799115466202</v>
      </c>
      <c r="J663" s="17">
        <v>0.39226763857261199</v>
      </c>
      <c r="K663" s="17">
        <v>0.43377099344854703</v>
      </c>
      <c r="L663" s="17">
        <v>0.45526694755719199</v>
      </c>
      <c r="M663" s="17"/>
      <c r="N663" s="17">
        <v>0.40825293616424502</v>
      </c>
      <c r="O663" s="17">
        <v>0.40470098900053297</v>
      </c>
      <c r="P663" s="17">
        <v>0.236606478032788</v>
      </c>
      <c r="Q663" s="17">
        <v>0.37520592724965901</v>
      </c>
      <c r="R663" s="17">
        <v>0.41519437995916297</v>
      </c>
      <c r="S663" s="17">
        <v>0.34015623902661801</v>
      </c>
      <c r="T663" s="17">
        <v>0.409702517302101</v>
      </c>
      <c r="U663" s="17">
        <v>0.56800061486519404</v>
      </c>
      <c r="V663" s="17">
        <v>0.37539272445481903</v>
      </c>
      <c r="W663" s="17"/>
      <c r="X663" s="17">
        <v>0.438746575729975</v>
      </c>
      <c r="Y663" s="17">
        <v>0.35994812173557</v>
      </c>
    </row>
    <row r="664" spans="2:25" x14ac:dyDescent="0.35">
      <c r="B664" t="s">
        <v>277</v>
      </c>
      <c r="C664" s="17">
        <v>0.380157249734767</v>
      </c>
      <c r="D664" s="17">
        <v>0.40130029767449898</v>
      </c>
      <c r="E664" s="17">
        <v>0.36012080465553897</v>
      </c>
      <c r="F664" s="17"/>
      <c r="G664" s="17">
        <v>0.50227637956375304</v>
      </c>
      <c r="H664" s="17">
        <v>0.386537368365033</v>
      </c>
      <c r="I664" s="17">
        <v>0.36500164785260902</v>
      </c>
      <c r="J664" s="17">
        <v>0.366596670340748</v>
      </c>
      <c r="K664" s="17">
        <v>0.414955137202907</v>
      </c>
      <c r="L664" s="17">
        <v>0.36611723131555901</v>
      </c>
      <c r="M664" s="17"/>
      <c r="N664" s="17">
        <v>0.45051095261712798</v>
      </c>
      <c r="O664" s="17">
        <v>0.33000788382396901</v>
      </c>
      <c r="P664" s="17">
        <v>0.42469516190145601</v>
      </c>
      <c r="Q664" s="17">
        <v>0.35935554396675201</v>
      </c>
      <c r="R664" s="17">
        <v>0.39683860470647703</v>
      </c>
      <c r="S664" s="17">
        <v>0.39397132791054401</v>
      </c>
      <c r="T664" s="17">
        <v>0.40779744356612802</v>
      </c>
      <c r="U664" s="17">
        <v>0.28262901972872201</v>
      </c>
      <c r="V664" s="17">
        <v>0.39572659121079101</v>
      </c>
      <c r="W664" s="17"/>
      <c r="X664" s="17">
        <v>0.37235625402182299</v>
      </c>
      <c r="Y664" s="17">
        <v>0.38678327858995498</v>
      </c>
    </row>
    <row r="665" spans="2:25" x14ac:dyDescent="0.35">
      <c r="B665" t="s">
        <v>278</v>
      </c>
      <c r="C665" s="17">
        <v>0.149117822822425</v>
      </c>
      <c r="D665" s="17">
        <v>0.153404063733837</v>
      </c>
      <c r="E665" s="17">
        <v>0.143247202018259</v>
      </c>
      <c r="F665" s="17"/>
      <c r="G665" s="17">
        <v>0.18455431909717401</v>
      </c>
      <c r="H665" s="17">
        <v>0.16488001761312601</v>
      </c>
      <c r="I665" s="17">
        <v>0.144186065497421</v>
      </c>
      <c r="J665" s="17">
        <v>0.16230305285605101</v>
      </c>
      <c r="K665" s="17">
        <v>7.6206780577033603E-2</v>
      </c>
      <c r="L665" s="17">
        <v>3.3682081623624301E-2</v>
      </c>
      <c r="M665" s="17"/>
      <c r="N665" s="17">
        <v>6.7145475136142899E-2</v>
      </c>
      <c r="O665" s="17">
        <v>8.1345760048558396E-2</v>
      </c>
      <c r="P665" s="17">
        <v>0.21119696102093299</v>
      </c>
      <c r="Q665" s="17">
        <v>0.17390846614628</v>
      </c>
      <c r="R665" s="17">
        <v>0.15553266511091501</v>
      </c>
      <c r="S665" s="17">
        <v>0.16274864228401101</v>
      </c>
      <c r="T665" s="17">
        <v>0.134574301696778</v>
      </c>
      <c r="U665" s="17">
        <v>0.115701368840031</v>
      </c>
      <c r="V665" s="17">
        <v>0.123290536063783</v>
      </c>
      <c r="W665" s="17"/>
      <c r="X665" s="17">
        <v>0.133117585148437</v>
      </c>
      <c r="Y665" s="17">
        <v>0.16270814390692301</v>
      </c>
    </row>
    <row r="666" spans="2:25" x14ac:dyDescent="0.35">
      <c r="B666" t="s">
        <v>279</v>
      </c>
      <c r="C666" s="17">
        <v>3.4163048527950497E-2</v>
      </c>
      <c r="D666" s="17">
        <v>4.4540267947624099E-2</v>
      </c>
      <c r="E666" s="17">
        <v>2.3500066251265699E-2</v>
      </c>
      <c r="F666" s="17"/>
      <c r="G666" s="17">
        <v>3.8745829980646997E-2</v>
      </c>
      <c r="H666" s="17">
        <v>4.9541509605475299E-2</v>
      </c>
      <c r="I666" s="17">
        <v>3.0659990129763601E-2</v>
      </c>
      <c r="J666" s="17">
        <v>2.71818771558901E-2</v>
      </c>
      <c r="K666" s="17">
        <v>2.6925730755622101E-2</v>
      </c>
      <c r="L666" s="17">
        <v>3.4444496315355899E-2</v>
      </c>
      <c r="M666" s="17"/>
      <c r="N666" s="17">
        <v>4.0694134357366199E-2</v>
      </c>
      <c r="O666" s="17">
        <v>5.3240109231836599E-2</v>
      </c>
      <c r="P666" s="17">
        <v>4.6876867822577099E-2</v>
      </c>
      <c r="Q666" s="17">
        <v>4.8574039471148502E-2</v>
      </c>
      <c r="R666" s="17">
        <v>1.1129432267175899E-2</v>
      </c>
      <c r="S666" s="17">
        <v>3.5498394994651003E-2</v>
      </c>
      <c r="T666" s="17">
        <v>4.0736610286591098E-2</v>
      </c>
      <c r="U666" s="17">
        <v>9.1829500725435897E-3</v>
      </c>
      <c r="V666" s="17">
        <v>5.7710047678154699E-2</v>
      </c>
      <c r="W666" s="17"/>
      <c r="X666" s="17">
        <v>3.1652100244119498E-2</v>
      </c>
      <c r="Y666" s="17">
        <v>3.6295803934409898E-2</v>
      </c>
    </row>
    <row r="667" spans="2:25" x14ac:dyDescent="0.35">
      <c r="B667" t="s">
        <v>280</v>
      </c>
      <c r="C667" s="17">
        <v>1.4243064321053401E-2</v>
      </c>
      <c r="D667" s="17">
        <v>1.55248750347646E-2</v>
      </c>
      <c r="E667" s="17">
        <v>1.2980463417796699E-2</v>
      </c>
      <c r="F667" s="17"/>
      <c r="G667" s="17">
        <v>6.3553120603338101E-3</v>
      </c>
      <c r="H667" s="17">
        <v>8.4415238982642506E-3</v>
      </c>
      <c r="I667" s="17">
        <v>1.71483417858719E-2</v>
      </c>
      <c r="J667" s="17">
        <v>1.7015870171300702E-2</v>
      </c>
      <c r="K667" s="17">
        <v>1.4943270045756799E-2</v>
      </c>
      <c r="L667" s="17">
        <v>0</v>
      </c>
      <c r="M667" s="17"/>
      <c r="N667" s="17">
        <v>3.3396501725117503E-2</v>
      </c>
      <c r="O667" s="17">
        <v>4.13923235997967E-2</v>
      </c>
      <c r="P667" s="17">
        <v>4.0349606173022898E-2</v>
      </c>
      <c r="Q667" s="17">
        <v>1.0146801912690901E-2</v>
      </c>
      <c r="R667" s="17">
        <v>0</v>
      </c>
      <c r="S667" s="17">
        <v>9.26119956057808E-3</v>
      </c>
      <c r="T667" s="17">
        <v>7.1891271484027103E-3</v>
      </c>
      <c r="U667" s="17">
        <v>4.3007196293071799E-3</v>
      </c>
      <c r="V667" s="17">
        <v>2.5275781059389501E-2</v>
      </c>
      <c r="W667" s="17"/>
      <c r="X667" s="17">
        <v>1.0416158756958199E-2</v>
      </c>
      <c r="Y667" s="17">
        <v>1.7493570747008601E-2</v>
      </c>
    </row>
    <row r="668" spans="2:25" x14ac:dyDescent="0.35">
      <c r="B668" t="s">
        <v>162</v>
      </c>
      <c r="C668" s="17">
        <v>2.6180220772643099E-2</v>
      </c>
      <c r="D668" s="17">
        <v>1.7949816621167399E-2</v>
      </c>
      <c r="E668" s="17">
        <v>3.3774103552561399E-2</v>
      </c>
      <c r="F668" s="17"/>
      <c r="G668" s="17">
        <v>1.17880499534798E-2</v>
      </c>
      <c r="H668" s="17">
        <v>2.2491412552989001E-2</v>
      </c>
      <c r="I668" s="17">
        <v>1.95659635796726E-2</v>
      </c>
      <c r="J668" s="17">
        <v>3.4634890903397698E-2</v>
      </c>
      <c r="K668" s="17">
        <v>3.3198087970133502E-2</v>
      </c>
      <c r="L668" s="17">
        <v>0.110489243188269</v>
      </c>
      <c r="M668" s="17"/>
      <c r="N668" s="17">
        <v>0</v>
      </c>
      <c r="O668" s="17">
        <v>8.9312934295306706E-2</v>
      </c>
      <c r="P668" s="17">
        <v>4.0274925049224197E-2</v>
      </c>
      <c r="Q668" s="17">
        <v>3.2809221253469703E-2</v>
      </c>
      <c r="R668" s="17">
        <v>2.13049179562689E-2</v>
      </c>
      <c r="S668" s="17">
        <v>5.8364196223597703E-2</v>
      </c>
      <c r="T668" s="17">
        <v>0</v>
      </c>
      <c r="U668" s="17">
        <v>2.0185326864201301E-2</v>
      </c>
      <c r="V668" s="17">
        <v>2.26043195330623E-2</v>
      </c>
      <c r="W668" s="17"/>
      <c r="X668" s="17">
        <v>1.3711326098688E-2</v>
      </c>
      <c r="Y668" s="17">
        <v>3.6771081086133001E-2</v>
      </c>
    </row>
    <row r="669" spans="2:25" x14ac:dyDescent="0.35">
      <c r="B669" t="s">
        <v>281</v>
      </c>
      <c r="C669" s="17">
        <v>0.77629584355592796</v>
      </c>
      <c r="D669" s="17">
        <v>0.76858097666260705</v>
      </c>
      <c r="E669" s="17">
        <v>0.78649816476011702</v>
      </c>
      <c r="F669" s="17"/>
      <c r="G669" s="17">
        <v>0.75855648890836502</v>
      </c>
      <c r="H669" s="17">
        <v>0.75464553633014597</v>
      </c>
      <c r="I669" s="17">
        <v>0.78843963900727099</v>
      </c>
      <c r="J669" s="17">
        <v>0.75886430891335999</v>
      </c>
      <c r="K669" s="17">
        <v>0.84872613065145397</v>
      </c>
      <c r="L669" s="17">
        <v>0.82138417887275095</v>
      </c>
      <c r="M669" s="17"/>
      <c r="N669" s="17">
        <v>0.858763888781373</v>
      </c>
      <c r="O669" s="17">
        <v>0.73470887282450204</v>
      </c>
      <c r="P669" s="17">
        <v>0.66130163993424296</v>
      </c>
      <c r="Q669" s="17">
        <v>0.73456147121641002</v>
      </c>
      <c r="R669" s="17">
        <v>0.81203298466564</v>
      </c>
      <c r="S669" s="17">
        <v>0.73412756693716197</v>
      </c>
      <c r="T669" s="17">
        <v>0.81749996086822796</v>
      </c>
      <c r="U669" s="17">
        <v>0.85062963459391605</v>
      </c>
      <c r="V669" s="17">
        <v>0.77111931566560998</v>
      </c>
      <c r="W669" s="17"/>
      <c r="X669" s="17">
        <v>0.81110282975179804</v>
      </c>
      <c r="Y669" s="17">
        <v>0.74673140032552499</v>
      </c>
    </row>
    <row r="670" spans="2:25" x14ac:dyDescent="0.35">
      <c r="B670" t="s">
        <v>282</v>
      </c>
      <c r="C670" s="17">
        <v>4.8406112849003903E-2</v>
      </c>
      <c r="D670" s="17">
        <v>6.00651429823887E-2</v>
      </c>
      <c r="E670" s="17">
        <v>3.64805296690624E-2</v>
      </c>
      <c r="F670" s="17"/>
      <c r="G670" s="17">
        <v>4.5101142040980799E-2</v>
      </c>
      <c r="H670" s="17">
        <v>5.7983033503739498E-2</v>
      </c>
      <c r="I670" s="17">
        <v>4.78083319156355E-2</v>
      </c>
      <c r="J670" s="17">
        <v>4.4197747327190798E-2</v>
      </c>
      <c r="K670" s="17">
        <v>4.18690008013788E-2</v>
      </c>
      <c r="L670" s="17">
        <v>3.4444496315355899E-2</v>
      </c>
      <c r="M670" s="17"/>
      <c r="N670" s="17">
        <v>7.4090636082483702E-2</v>
      </c>
      <c r="O670" s="17">
        <v>9.4632432831633306E-2</v>
      </c>
      <c r="P670" s="17">
        <v>8.7226473995600004E-2</v>
      </c>
      <c r="Q670" s="17">
        <v>5.8720841383839401E-2</v>
      </c>
      <c r="R670" s="17">
        <v>1.1129432267175899E-2</v>
      </c>
      <c r="S670" s="17">
        <v>4.4759594555229099E-2</v>
      </c>
      <c r="T670" s="17">
        <v>4.7925737434993801E-2</v>
      </c>
      <c r="U670" s="17">
        <v>1.34836697018508E-2</v>
      </c>
      <c r="V670" s="17">
        <v>8.2985828737544204E-2</v>
      </c>
      <c r="W670" s="17"/>
      <c r="X670" s="17">
        <v>4.2068259001077697E-2</v>
      </c>
      <c r="Y670" s="17">
        <v>5.3789374681418499E-2</v>
      </c>
    </row>
    <row r="671" spans="2:25" x14ac:dyDescent="0.35">
      <c r="B671" t="s">
        <v>92</v>
      </c>
      <c r="C671" s="17">
        <v>0.72788973070692498</v>
      </c>
      <c r="D671" s="17">
        <v>0.70851583368021798</v>
      </c>
      <c r="E671" s="17">
        <v>0.75001763509105501</v>
      </c>
      <c r="F671" s="17"/>
      <c r="G671" s="17">
        <v>0.71345534686738399</v>
      </c>
      <c r="H671" s="17">
        <v>0.69666250282640596</v>
      </c>
      <c r="I671" s="17">
        <v>0.74063130709163605</v>
      </c>
      <c r="J671" s="17">
        <v>0.71466656158616904</v>
      </c>
      <c r="K671" s="17">
        <v>0.80685712985007496</v>
      </c>
      <c r="L671" s="17">
        <v>0.78693968255739499</v>
      </c>
      <c r="M671" s="17"/>
      <c r="N671" s="17">
        <v>0.78467325269888999</v>
      </c>
      <c r="O671" s="17">
        <v>0.64007643999286801</v>
      </c>
      <c r="P671" s="17">
        <v>0.57407516593864305</v>
      </c>
      <c r="Q671" s="17">
        <v>0.67584062983257098</v>
      </c>
      <c r="R671" s="17">
        <v>0.800903552398464</v>
      </c>
      <c r="S671" s="17">
        <v>0.68936797238193304</v>
      </c>
      <c r="T671" s="17">
        <v>0.76957422343323401</v>
      </c>
      <c r="U671" s="17">
        <v>0.83714596489206605</v>
      </c>
      <c r="V671" s="17">
        <v>0.68813348692806597</v>
      </c>
      <c r="W671" s="17"/>
      <c r="X671" s="17">
        <v>0.76903457075072001</v>
      </c>
      <c r="Y671" s="17">
        <v>0.69294202564410701</v>
      </c>
    </row>
    <row r="672" spans="2:25" x14ac:dyDescent="0.35">
      <c r="C672" s="17"/>
      <c r="D672" s="17"/>
      <c r="E672" s="17"/>
      <c r="F672" s="17"/>
      <c r="G672" s="17"/>
      <c r="H672" s="17"/>
      <c r="I672" s="17"/>
      <c r="J672" s="17"/>
      <c r="K672" s="17"/>
      <c r="L672" s="17"/>
      <c r="M672" s="17"/>
      <c r="N672" s="17"/>
      <c r="O672" s="17"/>
      <c r="P672" s="17"/>
      <c r="Q672" s="17"/>
      <c r="R672" s="17"/>
      <c r="S672" s="17"/>
      <c r="T672" s="17"/>
      <c r="U672" s="17"/>
      <c r="V672" s="17"/>
      <c r="W672" s="17"/>
      <c r="X672" s="17"/>
      <c r="Y672" s="17"/>
    </row>
    <row r="673" spans="2:25" x14ac:dyDescent="0.35">
      <c r="B673" s="6" t="s">
        <v>290</v>
      </c>
      <c r="C673" s="17"/>
      <c r="D673" s="17"/>
      <c r="E673" s="17"/>
      <c r="F673" s="17"/>
      <c r="G673" s="17"/>
      <c r="H673" s="17"/>
      <c r="I673" s="17"/>
      <c r="J673" s="17"/>
      <c r="K673" s="17"/>
      <c r="L673" s="17"/>
      <c r="M673" s="17"/>
      <c r="N673" s="17"/>
      <c r="O673" s="17"/>
      <c r="P673" s="17"/>
      <c r="Q673" s="17"/>
      <c r="R673" s="17"/>
      <c r="S673" s="17"/>
      <c r="T673" s="17"/>
      <c r="U673" s="17"/>
      <c r="V673" s="17"/>
      <c r="W673" s="17"/>
      <c r="X673" s="17"/>
      <c r="Y673" s="17"/>
    </row>
    <row r="674" spans="2:25" x14ac:dyDescent="0.35">
      <c r="B674" s="24" t="s">
        <v>535</v>
      </c>
      <c r="C674" s="17"/>
      <c r="D674" s="17"/>
      <c r="E674" s="17"/>
      <c r="F674" s="17"/>
      <c r="G674" s="17"/>
      <c r="H674" s="17"/>
      <c r="I674" s="17"/>
      <c r="J674" s="17"/>
      <c r="K674" s="17"/>
      <c r="L674" s="17"/>
      <c r="M674" s="17"/>
      <c r="N674" s="17"/>
      <c r="O674" s="17"/>
      <c r="P674" s="17"/>
      <c r="Q674" s="17"/>
      <c r="R674" s="17"/>
      <c r="S674" s="17"/>
      <c r="T674" s="17"/>
      <c r="U674" s="17"/>
      <c r="V674" s="17"/>
      <c r="W674" s="17"/>
      <c r="X674" s="17"/>
      <c r="Y674" s="17"/>
    </row>
    <row r="675" spans="2:25" x14ac:dyDescent="0.35">
      <c r="B675" t="s">
        <v>276</v>
      </c>
      <c r="C675" s="17">
        <v>0.30357540256983501</v>
      </c>
      <c r="D675" s="17">
        <v>0.28311285472977998</v>
      </c>
      <c r="E675" s="17">
        <v>0.32550963586130099</v>
      </c>
      <c r="F675" s="17"/>
      <c r="G675" s="17">
        <v>0.169597586641245</v>
      </c>
      <c r="H675" s="17">
        <v>0.25403123161034302</v>
      </c>
      <c r="I675" s="17">
        <v>0.33583877049201599</v>
      </c>
      <c r="J675" s="17">
        <v>0.31805053680266399</v>
      </c>
      <c r="K675" s="17">
        <v>0.30172942952452497</v>
      </c>
      <c r="L675" s="17">
        <v>0.406766611495677</v>
      </c>
      <c r="M675" s="17"/>
      <c r="N675" s="17">
        <v>0.29171840778604902</v>
      </c>
      <c r="O675" s="17">
        <v>0.23764989512373599</v>
      </c>
      <c r="P675" s="17">
        <v>0.16565209864245101</v>
      </c>
      <c r="Q675" s="17">
        <v>0.1559152928642</v>
      </c>
      <c r="R675" s="17">
        <v>0.37786969652416902</v>
      </c>
      <c r="S675" s="17">
        <v>0.245531475554814</v>
      </c>
      <c r="T675" s="17">
        <v>0.37018334666542002</v>
      </c>
      <c r="U675" s="17">
        <v>0.46912190135255899</v>
      </c>
      <c r="V675" s="17">
        <v>0.203560586100277</v>
      </c>
      <c r="W675" s="17"/>
      <c r="X675" s="17">
        <v>0.303049441773384</v>
      </c>
      <c r="Y675" s="17">
        <v>0.30402214444000403</v>
      </c>
    </row>
    <row r="676" spans="2:25" x14ac:dyDescent="0.35">
      <c r="B676" t="s">
        <v>277</v>
      </c>
      <c r="C676" s="17">
        <v>0.34942129339381001</v>
      </c>
      <c r="D676" s="17">
        <v>0.37521317339710297</v>
      </c>
      <c r="E676" s="17">
        <v>0.322293657127392</v>
      </c>
      <c r="F676" s="17"/>
      <c r="G676" s="17">
        <v>0.32487429680629698</v>
      </c>
      <c r="H676" s="17">
        <v>0.38463577492212397</v>
      </c>
      <c r="I676" s="17">
        <v>0.33716185019174499</v>
      </c>
      <c r="J676" s="17">
        <v>0.32315559029874802</v>
      </c>
      <c r="K676" s="17">
        <v>0.40007866700105998</v>
      </c>
      <c r="L676" s="17">
        <v>0.43040173111706398</v>
      </c>
      <c r="M676" s="17"/>
      <c r="N676" s="17">
        <v>0.19891344474219599</v>
      </c>
      <c r="O676" s="17">
        <v>0.40716804951996399</v>
      </c>
      <c r="P676" s="17">
        <v>0.31289747483485603</v>
      </c>
      <c r="Q676" s="17">
        <v>0.37506790749651497</v>
      </c>
      <c r="R676" s="17">
        <v>0.35617295707666302</v>
      </c>
      <c r="S676" s="17">
        <v>0.39092973566585298</v>
      </c>
      <c r="T676" s="17">
        <v>0.39914451766527997</v>
      </c>
      <c r="U676" s="17">
        <v>0.29072188470527899</v>
      </c>
      <c r="V676" s="17">
        <v>0.34560814872440498</v>
      </c>
      <c r="W676" s="17"/>
      <c r="X676" s="17">
        <v>0.35974839109956802</v>
      </c>
      <c r="Y676" s="17">
        <v>0.34064963783769198</v>
      </c>
    </row>
    <row r="677" spans="2:25" x14ac:dyDescent="0.35">
      <c r="B677" t="s">
        <v>278</v>
      </c>
      <c r="C677" s="17">
        <v>0.209130662101735</v>
      </c>
      <c r="D677" s="17">
        <v>0.20881299146101501</v>
      </c>
      <c r="E677" s="17">
        <v>0.209487785397905</v>
      </c>
      <c r="F677" s="17"/>
      <c r="G677" s="17">
        <v>0.31111487815432998</v>
      </c>
      <c r="H677" s="17">
        <v>0.226362251028985</v>
      </c>
      <c r="I677" s="17">
        <v>0.20685817429721101</v>
      </c>
      <c r="J677" s="17">
        <v>0.197059448744765</v>
      </c>
      <c r="K677" s="17">
        <v>0.175562826709173</v>
      </c>
      <c r="L677" s="17">
        <v>6.3458417097505299E-2</v>
      </c>
      <c r="M677" s="17"/>
      <c r="N677" s="17">
        <v>0.284490657143323</v>
      </c>
      <c r="O677" s="17">
        <v>0.154655100224525</v>
      </c>
      <c r="P677" s="17">
        <v>0.286776101916346</v>
      </c>
      <c r="Q677" s="17">
        <v>0.23728794061531</v>
      </c>
      <c r="R677" s="17">
        <v>0.191410552684806</v>
      </c>
      <c r="S677" s="17">
        <v>0.17559502640788099</v>
      </c>
      <c r="T677" s="17">
        <v>0.192059712896018</v>
      </c>
      <c r="U677" s="17">
        <v>0.145077028469279</v>
      </c>
      <c r="V677" s="17">
        <v>0.28601546543659201</v>
      </c>
      <c r="W677" s="17"/>
      <c r="X677" s="17">
        <v>0.20426527062439601</v>
      </c>
      <c r="Y677" s="17">
        <v>0.213263240237516</v>
      </c>
    </row>
    <row r="678" spans="2:25" x14ac:dyDescent="0.35">
      <c r="B678" t="s">
        <v>279</v>
      </c>
      <c r="C678" s="17">
        <v>7.8186735020487494E-2</v>
      </c>
      <c r="D678" s="17">
        <v>7.7853915658912004E-2</v>
      </c>
      <c r="E678" s="17">
        <v>7.8959869737839999E-2</v>
      </c>
      <c r="F678" s="17"/>
      <c r="G678" s="17">
        <v>0.15189794097930701</v>
      </c>
      <c r="H678" s="17">
        <v>8.6118307581474998E-2</v>
      </c>
      <c r="I678" s="17">
        <v>6.3025167643400895E-2</v>
      </c>
      <c r="J678" s="17">
        <v>8.8045977578744702E-2</v>
      </c>
      <c r="K678" s="17">
        <v>5.7434043463285601E-2</v>
      </c>
      <c r="L678" s="17">
        <v>3.4444496315355899E-2</v>
      </c>
      <c r="M678" s="17"/>
      <c r="N678" s="17">
        <v>0.14323993569114199</v>
      </c>
      <c r="O678" s="17">
        <v>0.106680728068463</v>
      </c>
      <c r="P678" s="17">
        <v>0.125893604553419</v>
      </c>
      <c r="Q678" s="17">
        <v>0.116495933129718</v>
      </c>
      <c r="R678" s="17">
        <v>5.02062688358225E-2</v>
      </c>
      <c r="S678" s="17">
        <v>0.106930383604947</v>
      </c>
      <c r="T678" s="17">
        <v>1.7582266536574499E-2</v>
      </c>
      <c r="U678" s="17">
        <v>6.3338109183184693E-2</v>
      </c>
      <c r="V678" s="17">
        <v>0.10319142557557499</v>
      </c>
      <c r="W678" s="17"/>
      <c r="X678" s="17">
        <v>8.4892344087853899E-2</v>
      </c>
      <c r="Y678" s="17">
        <v>7.2491108358591697E-2</v>
      </c>
    </row>
    <row r="679" spans="2:25" x14ac:dyDescent="0.35">
      <c r="B679" t="s">
        <v>280</v>
      </c>
      <c r="C679" s="17">
        <v>3.4946837501972201E-2</v>
      </c>
      <c r="D679" s="17">
        <v>3.7115444630198599E-2</v>
      </c>
      <c r="E679" s="17">
        <v>3.2869734033780199E-2</v>
      </c>
      <c r="F679" s="17"/>
      <c r="G679" s="17">
        <v>3.0727247465341698E-2</v>
      </c>
      <c r="H679" s="17">
        <v>2.9037099460710199E-2</v>
      </c>
      <c r="I679" s="17">
        <v>3.5450875569806799E-2</v>
      </c>
      <c r="J679" s="17">
        <v>4.215446107813E-2</v>
      </c>
      <c r="K679" s="17">
        <v>2.06146162441979E-2</v>
      </c>
      <c r="L679" s="17">
        <v>6.4928743974397296E-2</v>
      </c>
      <c r="M679" s="17"/>
      <c r="N679" s="17">
        <v>8.1637554637289306E-2</v>
      </c>
      <c r="O679" s="17">
        <v>1.5418636836969901E-2</v>
      </c>
      <c r="P679" s="17">
        <v>5.88046923138342E-2</v>
      </c>
      <c r="Q679" s="17">
        <v>8.48624038102124E-2</v>
      </c>
      <c r="R679" s="17">
        <v>1.50264236085543E-2</v>
      </c>
      <c r="S679" s="17">
        <v>4.6177030610753803E-2</v>
      </c>
      <c r="T679" s="17">
        <v>1.21897782927127E-2</v>
      </c>
      <c r="U679" s="17">
        <v>8.8552533633552994E-3</v>
      </c>
      <c r="V679" s="17">
        <v>4.6123026088741199E-2</v>
      </c>
      <c r="W679" s="17"/>
      <c r="X679" s="17">
        <v>3.0061365341250802E-2</v>
      </c>
      <c r="Y679" s="17">
        <v>3.9096471817812603E-2</v>
      </c>
    </row>
    <row r="680" spans="2:25" x14ac:dyDescent="0.35">
      <c r="B680" t="s">
        <v>162</v>
      </c>
      <c r="C680" s="17">
        <v>2.4739069412160902E-2</v>
      </c>
      <c r="D680" s="17">
        <v>1.7891620122990601E-2</v>
      </c>
      <c r="E680" s="17">
        <v>3.0879317841781499E-2</v>
      </c>
      <c r="F680" s="17"/>
      <c r="G680" s="17">
        <v>1.17880499534798E-2</v>
      </c>
      <c r="H680" s="17">
        <v>1.98153353963628E-2</v>
      </c>
      <c r="I680" s="17">
        <v>2.1665161805819101E-2</v>
      </c>
      <c r="J680" s="17">
        <v>3.1533985496947699E-2</v>
      </c>
      <c r="K680" s="17">
        <v>4.4580417057759003E-2</v>
      </c>
      <c r="L680" s="17">
        <v>0</v>
      </c>
      <c r="M680" s="17"/>
      <c r="N680" s="17">
        <v>0</v>
      </c>
      <c r="O680" s="17">
        <v>7.8427590226341298E-2</v>
      </c>
      <c r="P680" s="17">
        <v>4.9976027739094202E-2</v>
      </c>
      <c r="Q680" s="17">
        <v>3.0370522084043401E-2</v>
      </c>
      <c r="R680" s="17">
        <v>9.3141012699855894E-3</v>
      </c>
      <c r="S680" s="17">
        <v>3.4836348155751103E-2</v>
      </c>
      <c r="T680" s="17">
        <v>8.8403779439948493E-3</v>
      </c>
      <c r="U680" s="17">
        <v>2.2885822926343499E-2</v>
      </c>
      <c r="V680" s="17">
        <v>1.55013480744093E-2</v>
      </c>
      <c r="W680" s="17"/>
      <c r="X680" s="17">
        <v>1.7983187073547801E-2</v>
      </c>
      <c r="Y680" s="17">
        <v>3.0477397308384099E-2</v>
      </c>
    </row>
    <row r="681" spans="2:25" x14ac:dyDescent="0.35">
      <c r="B681" t="s">
        <v>281</v>
      </c>
      <c r="C681" s="17">
        <v>0.65299669596364396</v>
      </c>
      <c r="D681" s="17">
        <v>0.65832602812688301</v>
      </c>
      <c r="E681" s="17">
        <v>0.64780329298869299</v>
      </c>
      <c r="F681" s="17"/>
      <c r="G681" s="17">
        <v>0.49447188344754101</v>
      </c>
      <c r="H681" s="17">
        <v>0.638667006532467</v>
      </c>
      <c r="I681" s="17">
        <v>0.67300062068376199</v>
      </c>
      <c r="J681" s="17">
        <v>0.641206127101412</v>
      </c>
      <c r="K681" s="17">
        <v>0.70180809652558496</v>
      </c>
      <c r="L681" s="17">
        <v>0.83716834261274198</v>
      </c>
      <c r="M681" s="17"/>
      <c r="N681" s="17">
        <v>0.49063185252824598</v>
      </c>
      <c r="O681" s="17">
        <v>0.64481794464370101</v>
      </c>
      <c r="P681" s="17">
        <v>0.47854957347730598</v>
      </c>
      <c r="Q681" s="17">
        <v>0.530983200360715</v>
      </c>
      <c r="R681" s="17">
        <v>0.73404265360083099</v>
      </c>
      <c r="S681" s="17">
        <v>0.63646121122066701</v>
      </c>
      <c r="T681" s="17">
        <v>0.7693278643307</v>
      </c>
      <c r="U681" s="17">
        <v>0.75984378605783798</v>
      </c>
      <c r="V681" s="17">
        <v>0.54916873482468198</v>
      </c>
      <c r="W681" s="17"/>
      <c r="X681" s="17">
        <v>0.66279783287295202</v>
      </c>
      <c r="Y681" s="17">
        <v>0.64467178227769495</v>
      </c>
    </row>
    <row r="682" spans="2:25" x14ac:dyDescent="0.35">
      <c r="B682" t="s">
        <v>282</v>
      </c>
      <c r="C682" s="17">
        <v>0.11313357252245999</v>
      </c>
      <c r="D682" s="17">
        <v>0.11496936028911101</v>
      </c>
      <c r="E682" s="17">
        <v>0.11182960377162</v>
      </c>
      <c r="F682" s="17"/>
      <c r="G682" s="17">
        <v>0.18262518844464801</v>
      </c>
      <c r="H682" s="17">
        <v>0.11515540704218501</v>
      </c>
      <c r="I682" s="17">
        <v>9.8476043213207798E-2</v>
      </c>
      <c r="J682" s="17">
        <v>0.130200438656875</v>
      </c>
      <c r="K682" s="17">
        <v>7.8048659707483495E-2</v>
      </c>
      <c r="L682" s="17">
        <v>9.9373240289753195E-2</v>
      </c>
      <c r="M682" s="17"/>
      <c r="N682" s="17">
        <v>0.22487749032843099</v>
      </c>
      <c r="O682" s="17">
        <v>0.12209936490543299</v>
      </c>
      <c r="P682" s="17">
        <v>0.184698296867253</v>
      </c>
      <c r="Q682" s="17">
        <v>0.20135833693993099</v>
      </c>
      <c r="R682" s="17">
        <v>6.5232692444376794E-2</v>
      </c>
      <c r="S682" s="17">
        <v>0.15310741421570001</v>
      </c>
      <c r="T682" s="17">
        <v>2.9772044829287199E-2</v>
      </c>
      <c r="U682" s="17">
        <v>7.2193362546540005E-2</v>
      </c>
      <c r="V682" s="17">
        <v>0.14931445166431601</v>
      </c>
      <c r="W682" s="17"/>
      <c r="X682" s="17">
        <v>0.114953709429105</v>
      </c>
      <c r="Y682" s="17">
        <v>0.11158758017640399</v>
      </c>
    </row>
    <row r="683" spans="2:25" x14ac:dyDescent="0.35">
      <c r="B683" t="s">
        <v>92</v>
      </c>
      <c r="C683" s="17">
        <v>0.53986312344118503</v>
      </c>
      <c r="D683" s="17">
        <v>0.54335666783777303</v>
      </c>
      <c r="E683" s="17">
        <v>0.535973689217073</v>
      </c>
      <c r="F683" s="17"/>
      <c r="G683" s="17">
        <v>0.31184669500289303</v>
      </c>
      <c r="H683" s="17">
        <v>0.52351159949028103</v>
      </c>
      <c r="I683" s="17">
        <v>0.57452457747055397</v>
      </c>
      <c r="J683" s="17">
        <v>0.51100568844453798</v>
      </c>
      <c r="K683" s="17">
        <v>0.62375943681810098</v>
      </c>
      <c r="L683" s="17">
        <v>0.73779510232298795</v>
      </c>
      <c r="M683" s="17"/>
      <c r="N683" s="17">
        <v>0.26575436219981502</v>
      </c>
      <c r="O683" s="17">
        <v>0.52271857973826796</v>
      </c>
      <c r="P683" s="17">
        <v>0.293851276610053</v>
      </c>
      <c r="Q683" s="17">
        <v>0.32962486342078501</v>
      </c>
      <c r="R683" s="17">
        <v>0.66880996115645397</v>
      </c>
      <c r="S683" s="17">
        <v>0.483353797004967</v>
      </c>
      <c r="T683" s="17">
        <v>0.73955581950141303</v>
      </c>
      <c r="U683" s="17">
        <v>0.68765042351129801</v>
      </c>
      <c r="V683" s="17">
        <v>0.39985428316036598</v>
      </c>
      <c r="W683" s="17"/>
      <c r="X683" s="17">
        <v>0.54784412344384703</v>
      </c>
      <c r="Y683" s="17">
        <v>0.53308420210129104</v>
      </c>
    </row>
    <row r="684" spans="2:25" x14ac:dyDescent="0.35">
      <c r="C684" s="17"/>
      <c r="D684" s="17"/>
      <c r="E684" s="17"/>
      <c r="F684" s="17"/>
      <c r="G684" s="17"/>
      <c r="H684" s="17"/>
      <c r="I684" s="17"/>
      <c r="J684" s="17"/>
      <c r="K684" s="17"/>
      <c r="L684" s="17"/>
      <c r="M684" s="17"/>
      <c r="N684" s="17"/>
      <c r="O684" s="17"/>
      <c r="P684" s="17"/>
      <c r="Q684" s="17"/>
      <c r="R684" s="17"/>
      <c r="S684" s="17"/>
      <c r="T684" s="17"/>
      <c r="U684" s="17"/>
      <c r="V684" s="17"/>
      <c r="W684" s="17"/>
      <c r="X684" s="17"/>
      <c r="Y684" s="17"/>
    </row>
    <row r="685" spans="2:25" x14ac:dyDescent="0.35">
      <c r="B685" s="6" t="s">
        <v>291</v>
      </c>
      <c r="C685" s="17"/>
      <c r="D685" s="17"/>
      <c r="E685" s="17"/>
      <c r="F685" s="17"/>
      <c r="G685" s="17"/>
      <c r="H685" s="17"/>
      <c r="I685" s="17"/>
      <c r="J685" s="17"/>
      <c r="K685" s="17"/>
      <c r="L685" s="17"/>
      <c r="M685" s="17"/>
      <c r="N685" s="17"/>
      <c r="O685" s="17"/>
      <c r="P685" s="17"/>
      <c r="Q685" s="17"/>
      <c r="R685" s="17"/>
      <c r="S685" s="17"/>
      <c r="T685" s="17"/>
      <c r="U685" s="17"/>
      <c r="V685" s="17"/>
      <c r="W685" s="17"/>
      <c r="X685" s="17"/>
      <c r="Y685" s="17"/>
    </row>
    <row r="686" spans="2:25" x14ac:dyDescent="0.35">
      <c r="B686" s="24" t="s">
        <v>535</v>
      </c>
      <c r="C686" s="17"/>
      <c r="D686" s="17"/>
      <c r="E686" s="17"/>
      <c r="F686" s="17"/>
      <c r="G686" s="17"/>
      <c r="H686" s="17"/>
      <c r="I686" s="17"/>
      <c r="J686" s="17"/>
      <c r="K686" s="17"/>
      <c r="L686" s="17"/>
      <c r="M686" s="17"/>
      <c r="N686" s="17"/>
      <c r="O686" s="17"/>
      <c r="P686" s="17"/>
      <c r="Q686" s="17"/>
      <c r="R686" s="17"/>
      <c r="S686" s="17"/>
      <c r="T686" s="17"/>
      <c r="U686" s="17"/>
      <c r="V686" s="17"/>
      <c r="W686" s="17"/>
      <c r="X686" s="17"/>
      <c r="Y686" s="17"/>
    </row>
    <row r="687" spans="2:25" x14ac:dyDescent="0.35">
      <c r="B687" t="s">
        <v>276</v>
      </c>
      <c r="C687" s="17">
        <v>0.223731337427854</v>
      </c>
      <c r="D687" s="17">
        <v>0.217469720300842</v>
      </c>
      <c r="E687" s="17">
        <v>0.22940943903984901</v>
      </c>
      <c r="F687" s="17"/>
      <c r="G687" s="17">
        <v>0.14041397851114101</v>
      </c>
      <c r="H687" s="17">
        <v>0.23670026815630099</v>
      </c>
      <c r="I687" s="17">
        <v>0.240970754808041</v>
      </c>
      <c r="J687" s="17">
        <v>0.19606276565248601</v>
      </c>
      <c r="K687" s="17">
        <v>0.23408434145908799</v>
      </c>
      <c r="L687" s="17">
        <v>0.296571100237013</v>
      </c>
      <c r="M687" s="17"/>
      <c r="N687" s="17">
        <v>0.27578286599449697</v>
      </c>
      <c r="O687" s="17">
        <v>0.24334148908574499</v>
      </c>
      <c r="P687" s="17">
        <v>0.13088076509161101</v>
      </c>
      <c r="Q687" s="17">
        <v>0.11203136675464</v>
      </c>
      <c r="R687" s="17">
        <v>0.25608463245720298</v>
      </c>
      <c r="S687" s="17">
        <v>0.16876343701041199</v>
      </c>
      <c r="T687" s="17">
        <v>0.29857584059236297</v>
      </c>
      <c r="U687" s="17">
        <v>0.30190908253896598</v>
      </c>
      <c r="V687" s="17">
        <v>0.17405960791785099</v>
      </c>
      <c r="W687" s="17"/>
      <c r="X687" s="17">
        <v>0.22909397480896199</v>
      </c>
      <c r="Y687" s="17">
        <v>0.21917640734781699</v>
      </c>
    </row>
    <row r="688" spans="2:25" x14ac:dyDescent="0.35">
      <c r="B688" t="s">
        <v>277</v>
      </c>
      <c r="C688" s="17">
        <v>0.317163749480803</v>
      </c>
      <c r="D688" s="17">
        <v>0.31239094288401897</v>
      </c>
      <c r="E688" s="17">
        <v>0.322789953123021</v>
      </c>
      <c r="F688" s="17"/>
      <c r="G688" s="17">
        <v>0.27845063225164002</v>
      </c>
      <c r="H688" s="17">
        <v>0.31458011622721999</v>
      </c>
      <c r="I688" s="17">
        <v>0.326260790127961</v>
      </c>
      <c r="J688" s="17">
        <v>0.32301144514233998</v>
      </c>
      <c r="K688" s="17">
        <v>0.27531569040663201</v>
      </c>
      <c r="L688" s="17">
        <v>0.34154345597263902</v>
      </c>
      <c r="M688" s="17"/>
      <c r="N688" s="17">
        <v>0.14612389707120399</v>
      </c>
      <c r="O688" s="17">
        <v>0.195843397403276</v>
      </c>
      <c r="P688" s="17">
        <v>0.29782553902870401</v>
      </c>
      <c r="Q688" s="17">
        <v>0.29025201665429901</v>
      </c>
      <c r="R688" s="17">
        <v>0.28886893481736697</v>
      </c>
      <c r="S688" s="17">
        <v>0.32817311132793298</v>
      </c>
      <c r="T688" s="17">
        <v>0.39085013089996601</v>
      </c>
      <c r="U688" s="17">
        <v>0.34564974462501402</v>
      </c>
      <c r="V688" s="17">
        <v>0.251364458550281</v>
      </c>
      <c r="W688" s="17"/>
      <c r="X688" s="17">
        <v>0.33731565233412802</v>
      </c>
      <c r="Y688" s="17">
        <v>0.30004707685252302</v>
      </c>
    </row>
    <row r="689" spans="2:25" x14ac:dyDescent="0.35">
      <c r="B689" t="s">
        <v>278</v>
      </c>
      <c r="C689" s="17">
        <v>0.28800316792915098</v>
      </c>
      <c r="D689" s="17">
        <v>0.31140728275084201</v>
      </c>
      <c r="E689" s="17">
        <v>0.26283660718021501</v>
      </c>
      <c r="F689" s="17"/>
      <c r="G689" s="17">
        <v>0.35616889689256498</v>
      </c>
      <c r="H689" s="17">
        <v>0.275833620874262</v>
      </c>
      <c r="I689" s="17">
        <v>0.28862767125726502</v>
      </c>
      <c r="J689" s="17">
        <v>0.27360398365959598</v>
      </c>
      <c r="K689" s="17">
        <v>0.34862536437757102</v>
      </c>
      <c r="L689" s="17">
        <v>0.21421693370393399</v>
      </c>
      <c r="M689" s="17"/>
      <c r="N689" s="17">
        <v>0.25374755573388202</v>
      </c>
      <c r="O689" s="17">
        <v>0.26308050405639399</v>
      </c>
      <c r="P689" s="17">
        <v>0.298484974692525</v>
      </c>
      <c r="Q689" s="17">
        <v>0.30849275712376301</v>
      </c>
      <c r="R689" s="17">
        <v>0.330304870087755</v>
      </c>
      <c r="S689" s="17">
        <v>0.30888034878727599</v>
      </c>
      <c r="T689" s="17">
        <v>0.243623437434902</v>
      </c>
      <c r="U689" s="17">
        <v>0.238255945371669</v>
      </c>
      <c r="V689" s="17">
        <v>0.416312865392922</v>
      </c>
      <c r="W689" s="17"/>
      <c r="X689" s="17">
        <v>0.28743006728103399</v>
      </c>
      <c r="Y689" s="17">
        <v>0.28848994956204699</v>
      </c>
    </row>
    <row r="690" spans="2:25" x14ac:dyDescent="0.35">
      <c r="B690" t="s">
        <v>279</v>
      </c>
      <c r="C690" s="17">
        <v>9.6446363869817406E-2</v>
      </c>
      <c r="D690" s="17">
        <v>9.29525842320192E-2</v>
      </c>
      <c r="E690" s="17">
        <v>0.100623393502854</v>
      </c>
      <c r="F690" s="17"/>
      <c r="G690" s="17">
        <v>0.187357768288827</v>
      </c>
      <c r="H690" s="17">
        <v>0.100737115691393</v>
      </c>
      <c r="I690" s="17">
        <v>6.9856222240172697E-2</v>
      </c>
      <c r="J690" s="17">
        <v>0.12310871483731201</v>
      </c>
      <c r="K690" s="17">
        <v>7.0597800508539393E-2</v>
      </c>
      <c r="L690" s="17">
        <v>6.6937044607252E-2</v>
      </c>
      <c r="M690" s="17"/>
      <c r="N690" s="17">
        <v>0.205232123464276</v>
      </c>
      <c r="O690" s="17">
        <v>7.9482804577993296E-2</v>
      </c>
      <c r="P690" s="17">
        <v>0.14235091027281899</v>
      </c>
      <c r="Q690" s="17">
        <v>0.15774942971888001</v>
      </c>
      <c r="R690" s="17">
        <v>9.3618962722775104E-2</v>
      </c>
      <c r="S690" s="17">
        <v>9.9663196503649895E-2</v>
      </c>
      <c r="T690" s="17">
        <v>4.76677136474064E-2</v>
      </c>
      <c r="U690" s="17">
        <v>6.7352726234269397E-2</v>
      </c>
      <c r="V690" s="17">
        <v>7.9124484623325705E-2</v>
      </c>
      <c r="W690" s="17"/>
      <c r="X690" s="17">
        <v>8.7917759578463595E-2</v>
      </c>
      <c r="Y690" s="17">
        <v>0.103690410682357</v>
      </c>
    </row>
    <row r="691" spans="2:25" x14ac:dyDescent="0.35">
      <c r="B691" t="s">
        <v>280</v>
      </c>
      <c r="C691" s="17">
        <v>4.9603506649599997E-2</v>
      </c>
      <c r="D691" s="17">
        <v>4.46716253318859E-2</v>
      </c>
      <c r="E691" s="17">
        <v>5.50292472678015E-2</v>
      </c>
      <c r="F691" s="17"/>
      <c r="G691" s="17">
        <v>3.7608724055826999E-2</v>
      </c>
      <c r="H691" s="17">
        <v>5.4158318360527598E-2</v>
      </c>
      <c r="I691" s="17">
        <v>5.4555907392837097E-2</v>
      </c>
      <c r="J691" s="17">
        <v>4.3853632995386103E-2</v>
      </c>
      <c r="K691" s="17">
        <v>4.1501769710205499E-2</v>
      </c>
      <c r="L691" s="17">
        <v>3.3700639388398297E-2</v>
      </c>
      <c r="M691" s="17"/>
      <c r="N691" s="17">
        <v>0.10422394284541001</v>
      </c>
      <c r="O691" s="17">
        <v>0.109432296434832</v>
      </c>
      <c r="P691" s="17">
        <v>8.7987025349234096E-2</v>
      </c>
      <c r="Q691" s="17">
        <v>9.9003054143674205E-2</v>
      </c>
      <c r="R691" s="17">
        <v>7.35992555155748E-3</v>
      </c>
      <c r="S691" s="17">
        <v>6.6768298962036607E-2</v>
      </c>
      <c r="T691" s="17">
        <v>1.39169282597004E-2</v>
      </c>
      <c r="U691" s="17">
        <v>2.5747288968631901E-2</v>
      </c>
      <c r="V691" s="17">
        <v>6.24392725250466E-2</v>
      </c>
      <c r="W691" s="17"/>
      <c r="X691" s="17">
        <v>3.92369405759707E-2</v>
      </c>
      <c r="Y691" s="17">
        <v>5.8408685944738303E-2</v>
      </c>
    </row>
    <row r="692" spans="2:25" x14ac:dyDescent="0.35">
      <c r="B692" t="s">
        <v>162</v>
      </c>
      <c r="C692" s="17">
        <v>2.50518746427741E-2</v>
      </c>
      <c r="D692" s="17">
        <v>2.1107844500392402E-2</v>
      </c>
      <c r="E692" s="17">
        <v>2.9311359886259401E-2</v>
      </c>
      <c r="F692" s="17"/>
      <c r="G692" s="17">
        <v>0</v>
      </c>
      <c r="H692" s="17">
        <v>1.7990560690296802E-2</v>
      </c>
      <c r="I692" s="17">
        <v>1.9728654173722399E-2</v>
      </c>
      <c r="J692" s="17">
        <v>4.0359457712879999E-2</v>
      </c>
      <c r="K692" s="17">
        <v>2.9875033537964599E-2</v>
      </c>
      <c r="L692" s="17">
        <v>4.70308260907637E-2</v>
      </c>
      <c r="M692" s="17"/>
      <c r="N692" s="17">
        <v>1.48896148907315E-2</v>
      </c>
      <c r="O692" s="17">
        <v>0.10881950844176</v>
      </c>
      <c r="P692" s="17">
        <v>4.2470785565106299E-2</v>
      </c>
      <c r="Q692" s="17">
        <v>3.2471375604743703E-2</v>
      </c>
      <c r="R692" s="17">
        <v>2.37626743633421E-2</v>
      </c>
      <c r="S692" s="17">
        <v>2.7751607408693601E-2</v>
      </c>
      <c r="T692" s="17">
        <v>5.36594916566228E-3</v>
      </c>
      <c r="U692" s="17">
        <v>2.10852122614495E-2</v>
      </c>
      <c r="V692" s="17">
        <v>1.6699310990572699E-2</v>
      </c>
      <c r="W692" s="17"/>
      <c r="X692" s="17">
        <v>1.9005605421441901E-2</v>
      </c>
      <c r="Y692" s="17">
        <v>3.0187469610517201E-2</v>
      </c>
    </row>
    <row r="693" spans="2:25" x14ac:dyDescent="0.35">
      <c r="B693" t="s">
        <v>281</v>
      </c>
      <c r="C693" s="17">
        <v>0.54089508690865695</v>
      </c>
      <c r="D693" s="17">
        <v>0.52986066318486102</v>
      </c>
      <c r="E693" s="17">
        <v>0.55219939216286995</v>
      </c>
      <c r="F693" s="17"/>
      <c r="G693" s="17">
        <v>0.41886461076278098</v>
      </c>
      <c r="H693" s="17">
        <v>0.551280384383521</v>
      </c>
      <c r="I693" s="17">
        <v>0.56723154493600303</v>
      </c>
      <c r="J693" s="17">
        <v>0.51907421079482596</v>
      </c>
      <c r="K693" s="17">
        <v>0.50940003186571903</v>
      </c>
      <c r="L693" s="17">
        <v>0.63811455620965196</v>
      </c>
      <c r="M693" s="17"/>
      <c r="N693" s="17">
        <v>0.42190676306570102</v>
      </c>
      <c r="O693" s="17">
        <v>0.43918488648902099</v>
      </c>
      <c r="P693" s="17">
        <v>0.42870630412031502</v>
      </c>
      <c r="Q693" s="17">
        <v>0.40228338340893899</v>
      </c>
      <c r="R693" s="17">
        <v>0.544953567274571</v>
      </c>
      <c r="S693" s="17">
        <v>0.496936548338344</v>
      </c>
      <c r="T693" s="17">
        <v>0.68942597149232898</v>
      </c>
      <c r="U693" s="17">
        <v>0.64755882716398006</v>
      </c>
      <c r="V693" s="17">
        <v>0.42542406646813302</v>
      </c>
      <c r="W693" s="17"/>
      <c r="X693" s="17">
        <v>0.56640962714308996</v>
      </c>
      <c r="Y693" s="17">
        <v>0.51922348420034103</v>
      </c>
    </row>
    <row r="694" spans="2:25" x14ac:dyDescent="0.35">
      <c r="B694" t="s">
        <v>282</v>
      </c>
      <c r="C694" s="17">
        <v>0.14604987051941701</v>
      </c>
      <c r="D694" s="17">
        <v>0.137624209563905</v>
      </c>
      <c r="E694" s="17">
        <v>0.15565264077065499</v>
      </c>
      <c r="F694" s="17"/>
      <c r="G694" s="17">
        <v>0.22496649234465399</v>
      </c>
      <c r="H694" s="17">
        <v>0.15489543405192099</v>
      </c>
      <c r="I694" s="17">
        <v>0.12441212963301</v>
      </c>
      <c r="J694" s="17">
        <v>0.166962347832698</v>
      </c>
      <c r="K694" s="17">
        <v>0.112099570218745</v>
      </c>
      <c r="L694" s="17">
        <v>0.10063768399565</v>
      </c>
      <c r="M694" s="17"/>
      <c r="N694" s="17">
        <v>0.30945606630968597</v>
      </c>
      <c r="O694" s="17">
        <v>0.18891510101282499</v>
      </c>
      <c r="P694" s="17">
        <v>0.23033793562205301</v>
      </c>
      <c r="Q694" s="17">
        <v>0.256752483862555</v>
      </c>
      <c r="R694" s="17">
        <v>0.100978888274333</v>
      </c>
      <c r="S694" s="17">
        <v>0.166431495465687</v>
      </c>
      <c r="T694" s="17">
        <v>6.1584641907106899E-2</v>
      </c>
      <c r="U694" s="17">
        <v>9.3100015202901301E-2</v>
      </c>
      <c r="V694" s="17">
        <v>0.14156375714837199</v>
      </c>
      <c r="W694" s="17"/>
      <c r="X694" s="17">
        <v>0.127154700154434</v>
      </c>
      <c r="Y694" s="17">
        <v>0.16209909662709601</v>
      </c>
    </row>
    <row r="695" spans="2:25" x14ac:dyDescent="0.35">
      <c r="B695" t="s">
        <v>92</v>
      </c>
      <c r="C695" s="17">
        <v>0.39484521638923997</v>
      </c>
      <c r="D695" s="17">
        <v>0.39223645362095599</v>
      </c>
      <c r="E695" s="17">
        <v>0.39654675139221501</v>
      </c>
      <c r="F695" s="17"/>
      <c r="G695" s="17">
        <v>0.19389811841812701</v>
      </c>
      <c r="H695" s="17">
        <v>0.39638495033159998</v>
      </c>
      <c r="I695" s="17">
        <v>0.44281941530299301</v>
      </c>
      <c r="J695" s="17">
        <v>0.35211186296212799</v>
      </c>
      <c r="K695" s="17">
        <v>0.39730046164697402</v>
      </c>
      <c r="L695" s="17">
        <v>0.53747687221400198</v>
      </c>
      <c r="M695" s="17"/>
      <c r="N695" s="17">
        <v>0.112450696756014</v>
      </c>
      <c r="O695" s="17">
        <v>0.25026978547619499</v>
      </c>
      <c r="P695" s="17">
        <v>0.198368368498262</v>
      </c>
      <c r="Q695" s="17">
        <v>0.14553089954638401</v>
      </c>
      <c r="R695" s="17">
        <v>0.44397467900023802</v>
      </c>
      <c r="S695" s="17">
        <v>0.33050505287265802</v>
      </c>
      <c r="T695" s="17">
        <v>0.62784132958522199</v>
      </c>
      <c r="U695" s="17">
        <v>0.55445881196107905</v>
      </c>
      <c r="V695" s="17">
        <v>0.28386030931975997</v>
      </c>
      <c r="W695" s="17"/>
      <c r="X695" s="17">
        <v>0.43925492698865598</v>
      </c>
      <c r="Y695" s="17">
        <v>0.35712438757324499</v>
      </c>
    </row>
    <row r="696" spans="2:25" x14ac:dyDescent="0.35">
      <c r="C696" s="17"/>
      <c r="D696" s="17"/>
      <c r="E696" s="17"/>
      <c r="F696" s="17"/>
      <c r="G696" s="17"/>
      <c r="H696" s="17"/>
      <c r="I696" s="17"/>
      <c r="J696" s="17"/>
      <c r="K696" s="17"/>
      <c r="L696" s="17"/>
      <c r="M696" s="17"/>
      <c r="N696" s="17"/>
      <c r="O696" s="17"/>
      <c r="P696" s="17"/>
      <c r="Q696" s="17"/>
      <c r="R696" s="17"/>
      <c r="S696" s="17"/>
      <c r="T696" s="17"/>
      <c r="U696" s="17"/>
      <c r="V696" s="17"/>
      <c r="W696" s="17"/>
      <c r="X696" s="17"/>
      <c r="Y696" s="17"/>
    </row>
    <row r="697" spans="2:25" x14ac:dyDescent="0.35">
      <c r="B697" s="6" t="s">
        <v>292</v>
      </c>
      <c r="C697" s="17"/>
      <c r="D697" s="17"/>
      <c r="E697" s="17"/>
      <c r="F697" s="17"/>
      <c r="G697" s="17"/>
      <c r="H697" s="17"/>
      <c r="I697" s="17"/>
      <c r="J697" s="17"/>
      <c r="K697" s="17"/>
      <c r="L697" s="17"/>
      <c r="M697" s="17"/>
      <c r="N697" s="17"/>
      <c r="O697" s="17"/>
      <c r="P697" s="17"/>
      <c r="Q697" s="17"/>
      <c r="R697" s="17"/>
      <c r="S697" s="17"/>
      <c r="T697" s="17"/>
      <c r="U697" s="17"/>
      <c r="V697" s="17"/>
      <c r="W697" s="17"/>
      <c r="X697" s="17"/>
      <c r="Y697" s="17"/>
    </row>
    <row r="698" spans="2:25" x14ac:dyDescent="0.35">
      <c r="B698" s="24" t="s">
        <v>535</v>
      </c>
      <c r="C698" s="17"/>
      <c r="D698" s="17"/>
      <c r="E698" s="17"/>
      <c r="F698" s="17"/>
      <c r="G698" s="17"/>
      <c r="H698" s="17"/>
      <c r="I698" s="17"/>
      <c r="J698" s="17"/>
      <c r="K698" s="17"/>
      <c r="L698" s="17"/>
      <c r="M698" s="17"/>
      <c r="N698" s="17"/>
      <c r="O698" s="17"/>
      <c r="P698" s="17"/>
      <c r="Q698" s="17"/>
      <c r="R698" s="17"/>
      <c r="S698" s="17"/>
      <c r="T698" s="17"/>
      <c r="U698" s="17"/>
      <c r="V698" s="17"/>
      <c r="W698" s="17"/>
      <c r="X698" s="17"/>
      <c r="Y698" s="17"/>
    </row>
    <row r="699" spans="2:25" x14ac:dyDescent="0.35">
      <c r="B699" t="s">
        <v>276</v>
      </c>
      <c r="C699" s="17">
        <v>0.22285984742002901</v>
      </c>
      <c r="D699" s="17">
        <v>0.21341644683284899</v>
      </c>
      <c r="E699" s="17">
        <v>0.23283527298248</v>
      </c>
      <c r="F699" s="17"/>
      <c r="G699" s="17">
        <v>0.189188406931424</v>
      </c>
      <c r="H699" s="17">
        <v>0.212442489575497</v>
      </c>
      <c r="I699" s="17">
        <v>0.23878981897427101</v>
      </c>
      <c r="J699" s="17">
        <v>0.21234734218745099</v>
      </c>
      <c r="K699" s="17">
        <v>0.22258154993264401</v>
      </c>
      <c r="L699" s="17">
        <v>0.27382186146044502</v>
      </c>
      <c r="M699" s="17"/>
      <c r="N699" s="17">
        <v>0.13039786890632199</v>
      </c>
      <c r="O699" s="17">
        <v>0.19335510593916799</v>
      </c>
      <c r="P699" s="17">
        <v>0.14405213490946001</v>
      </c>
      <c r="Q699" s="17">
        <v>0.123292926480077</v>
      </c>
      <c r="R699" s="17">
        <v>0.31325378663429598</v>
      </c>
      <c r="S699" s="17">
        <v>0.17918311047287599</v>
      </c>
      <c r="T699" s="17">
        <v>0.218251635251628</v>
      </c>
      <c r="U699" s="17">
        <v>0.40178524838910601</v>
      </c>
      <c r="V699" s="17">
        <v>7.0421131636525802E-2</v>
      </c>
      <c r="W699" s="17"/>
      <c r="X699" s="17">
        <v>0.226500394937281</v>
      </c>
      <c r="Y699" s="17">
        <v>0.21976763024857601</v>
      </c>
    </row>
    <row r="700" spans="2:25" x14ac:dyDescent="0.35">
      <c r="B700" t="s">
        <v>277</v>
      </c>
      <c r="C700" s="17">
        <v>0.29232786198598998</v>
      </c>
      <c r="D700" s="17">
        <v>0.30561887903035301</v>
      </c>
      <c r="E700" s="17">
        <v>0.27893434977491199</v>
      </c>
      <c r="F700" s="17"/>
      <c r="G700" s="17">
        <v>0.27225365223398501</v>
      </c>
      <c r="H700" s="17">
        <v>0.28877725384659703</v>
      </c>
      <c r="I700" s="17">
        <v>0.27007087389458501</v>
      </c>
      <c r="J700" s="17">
        <v>0.31598252458188603</v>
      </c>
      <c r="K700" s="17">
        <v>0.32629474166522199</v>
      </c>
      <c r="L700" s="17">
        <v>0.38604701874616498</v>
      </c>
      <c r="M700" s="17"/>
      <c r="N700" s="17">
        <v>0.14354393987474301</v>
      </c>
      <c r="O700" s="17">
        <v>0.19099951594657399</v>
      </c>
      <c r="P700" s="17">
        <v>0.313541263438535</v>
      </c>
      <c r="Q700" s="17">
        <v>0.25658968942607102</v>
      </c>
      <c r="R700" s="17">
        <v>0.36672769908073799</v>
      </c>
      <c r="S700" s="17">
        <v>0.23935202140919101</v>
      </c>
      <c r="T700" s="17">
        <v>0.32567906866018898</v>
      </c>
      <c r="U700" s="17">
        <v>0.32951550959645098</v>
      </c>
      <c r="V700" s="17">
        <v>0.146482819433849</v>
      </c>
      <c r="W700" s="17"/>
      <c r="X700" s="17">
        <v>0.29114255082065899</v>
      </c>
      <c r="Y700" s="17">
        <v>0.29333464448823299</v>
      </c>
    </row>
    <row r="701" spans="2:25" x14ac:dyDescent="0.35">
      <c r="B701" t="s">
        <v>278</v>
      </c>
      <c r="C701" s="17">
        <v>0.27404094788577299</v>
      </c>
      <c r="D701" s="17">
        <v>0.28715048482396999</v>
      </c>
      <c r="E701" s="17">
        <v>0.26182598399406798</v>
      </c>
      <c r="F701" s="17"/>
      <c r="G701" s="17">
        <v>0.267571675403944</v>
      </c>
      <c r="H701" s="17">
        <v>0.26614708340125198</v>
      </c>
      <c r="I701" s="17">
        <v>0.29953318388947803</v>
      </c>
      <c r="J701" s="17">
        <v>0.258327394866458</v>
      </c>
      <c r="K701" s="17">
        <v>0.25634108516705501</v>
      </c>
      <c r="L701" s="17">
        <v>0.133296635132932</v>
      </c>
      <c r="M701" s="17"/>
      <c r="N701" s="17">
        <v>0.380477068151095</v>
      </c>
      <c r="O701" s="17">
        <v>0.22473891379980801</v>
      </c>
      <c r="P701" s="17">
        <v>0.29187829067811499</v>
      </c>
      <c r="Q701" s="17">
        <v>0.31266316337699102</v>
      </c>
      <c r="R701" s="17">
        <v>0.23670400005824599</v>
      </c>
      <c r="S701" s="17">
        <v>0.30484234070083799</v>
      </c>
      <c r="T701" s="17">
        <v>0.28604043032202697</v>
      </c>
      <c r="U701" s="17">
        <v>0.15274420218098</v>
      </c>
      <c r="V701" s="17">
        <v>0.437526151027604</v>
      </c>
      <c r="W701" s="17"/>
      <c r="X701" s="17">
        <v>0.27084945011593398</v>
      </c>
      <c r="Y701" s="17">
        <v>0.27675175008236003</v>
      </c>
    </row>
    <row r="702" spans="2:25" x14ac:dyDescent="0.35">
      <c r="B702" t="s">
        <v>279</v>
      </c>
      <c r="C702" s="17">
        <v>8.8095999362597696E-2</v>
      </c>
      <c r="D702" s="17">
        <v>9.85383797189055E-2</v>
      </c>
      <c r="E702" s="17">
        <v>7.5570225290195206E-2</v>
      </c>
      <c r="F702" s="17"/>
      <c r="G702" s="17">
        <v>0.174380535902148</v>
      </c>
      <c r="H702" s="17">
        <v>0.11503560151065199</v>
      </c>
      <c r="I702" s="17">
        <v>7.0854621180525407E-2</v>
      </c>
      <c r="J702" s="17">
        <v>8.5232413248432004E-2</v>
      </c>
      <c r="K702" s="17">
        <v>5.3039180336591697E-2</v>
      </c>
      <c r="L702" s="17">
        <v>6.6079345789557098E-2</v>
      </c>
      <c r="M702" s="17"/>
      <c r="N702" s="17">
        <v>0.16561198383900699</v>
      </c>
      <c r="O702" s="17">
        <v>4.7340348939384498E-2</v>
      </c>
      <c r="P702" s="17">
        <v>0.103420871855223</v>
      </c>
      <c r="Q702" s="17">
        <v>0.150780544159166</v>
      </c>
      <c r="R702" s="17">
        <v>4.26460675378353E-2</v>
      </c>
      <c r="S702" s="17">
        <v>0.101450478363085</v>
      </c>
      <c r="T702" s="17">
        <v>5.26833803937009E-2</v>
      </c>
      <c r="U702" s="17">
        <v>6.3667368570428498E-2</v>
      </c>
      <c r="V702" s="17">
        <v>0.18046502955698901</v>
      </c>
      <c r="W702" s="17"/>
      <c r="X702" s="17">
        <v>9.4883264725960495E-2</v>
      </c>
      <c r="Y702" s="17">
        <v>8.2331015275907901E-2</v>
      </c>
    </row>
    <row r="703" spans="2:25" x14ac:dyDescent="0.35">
      <c r="B703" t="s">
        <v>280</v>
      </c>
      <c r="C703" s="17">
        <v>6.2553995396889897E-2</v>
      </c>
      <c r="D703" s="17">
        <v>5.9019177066516798E-2</v>
      </c>
      <c r="E703" s="17">
        <v>6.6589616476711203E-2</v>
      </c>
      <c r="F703" s="17"/>
      <c r="G703" s="17">
        <v>7.7001275249998793E-2</v>
      </c>
      <c r="H703" s="17">
        <v>6.9049204597196906E-2</v>
      </c>
      <c r="I703" s="17">
        <v>6.8379551976675695E-2</v>
      </c>
      <c r="J703" s="17">
        <v>4.7488118136549198E-2</v>
      </c>
      <c r="K703" s="17">
        <v>4.9214123433936698E-2</v>
      </c>
      <c r="L703" s="17">
        <v>0.10705449948250299</v>
      </c>
      <c r="M703" s="17"/>
      <c r="N703" s="17">
        <v>0.10061931196793</v>
      </c>
      <c r="O703" s="17">
        <v>0.13707842245871299</v>
      </c>
      <c r="P703" s="17">
        <v>8.1858688707609206E-2</v>
      </c>
      <c r="Q703" s="17">
        <v>0.10754495679824599</v>
      </c>
      <c r="R703" s="17">
        <v>1.39942354343049E-2</v>
      </c>
      <c r="S703" s="17">
        <v>8.2537060772304494E-2</v>
      </c>
      <c r="T703" s="17">
        <v>5.1443467867381999E-2</v>
      </c>
      <c r="U703" s="17">
        <v>1.94954757743287E-2</v>
      </c>
      <c r="V703" s="17">
        <v>0.107826028794926</v>
      </c>
      <c r="W703" s="17"/>
      <c r="X703" s="17">
        <v>5.7469784742202198E-2</v>
      </c>
      <c r="Y703" s="17">
        <v>6.6872434701748903E-2</v>
      </c>
    </row>
    <row r="704" spans="2:25" x14ac:dyDescent="0.35">
      <c r="B704" t="s">
        <v>162</v>
      </c>
      <c r="C704" s="17">
        <v>6.0121347948720497E-2</v>
      </c>
      <c r="D704" s="17">
        <v>3.6256632527406102E-2</v>
      </c>
      <c r="E704" s="17">
        <v>8.4244551481633706E-2</v>
      </c>
      <c r="F704" s="17"/>
      <c r="G704" s="17">
        <v>1.96044542784998E-2</v>
      </c>
      <c r="H704" s="17">
        <v>4.8548367068805102E-2</v>
      </c>
      <c r="I704" s="17">
        <v>5.2371950084464103E-2</v>
      </c>
      <c r="J704" s="17">
        <v>8.0622206979222996E-2</v>
      </c>
      <c r="K704" s="17">
        <v>9.2529319464550605E-2</v>
      </c>
      <c r="L704" s="17">
        <v>3.3700639388398297E-2</v>
      </c>
      <c r="M704" s="17"/>
      <c r="N704" s="17">
        <v>7.9349827260902797E-2</v>
      </c>
      <c r="O704" s="17">
        <v>0.20648769291635299</v>
      </c>
      <c r="P704" s="17">
        <v>6.5248750411057599E-2</v>
      </c>
      <c r="Q704" s="17">
        <v>4.9128719759448797E-2</v>
      </c>
      <c r="R704" s="17">
        <v>2.6674211254579298E-2</v>
      </c>
      <c r="S704" s="17">
        <v>9.2634988281706104E-2</v>
      </c>
      <c r="T704" s="17">
        <v>6.5902017505072005E-2</v>
      </c>
      <c r="U704" s="17">
        <v>3.2792195488706703E-2</v>
      </c>
      <c r="V704" s="17">
        <v>5.7278839550106098E-2</v>
      </c>
      <c r="W704" s="17"/>
      <c r="X704" s="17">
        <v>5.9154554657962599E-2</v>
      </c>
      <c r="Y704" s="17">
        <v>6.09425252031746E-2</v>
      </c>
    </row>
    <row r="705" spans="2:25" x14ac:dyDescent="0.35">
      <c r="B705" t="s">
        <v>281</v>
      </c>
      <c r="C705" s="17">
        <v>0.51518770940601899</v>
      </c>
      <c r="D705" s="17">
        <v>0.519035325863201</v>
      </c>
      <c r="E705" s="17">
        <v>0.51176962275739202</v>
      </c>
      <c r="F705" s="17"/>
      <c r="G705" s="17">
        <v>0.46144205916540898</v>
      </c>
      <c r="H705" s="17">
        <v>0.50121974342209397</v>
      </c>
      <c r="I705" s="17">
        <v>0.50886069286885605</v>
      </c>
      <c r="J705" s="17">
        <v>0.52832986676933702</v>
      </c>
      <c r="K705" s="17">
        <v>0.548876291597866</v>
      </c>
      <c r="L705" s="17">
        <v>0.65986888020661005</v>
      </c>
      <c r="M705" s="17"/>
      <c r="N705" s="17">
        <v>0.273941808781065</v>
      </c>
      <c r="O705" s="17">
        <v>0.38435462188574199</v>
      </c>
      <c r="P705" s="17">
        <v>0.45759339834799501</v>
      </c>
      <c r="Q705" s="17">
        <v>0.37988261590614802</v>
      </c>
      <c r="R705" s="17">
        <v>0.67998148571503403</v>
      </c>
      <c r="S705" s="17">
        <v>0.41853513188206698</v>
      </c>
      <c r="T705" s="17">
        <v>0.54393070391181797</v>
      </c>
      <c r="U705" s="17">
        <v>0.73130075798555605</v>
      </c>
      <c r="V705" s="17">
        <v>0.216903951070375</v>
      </c>
      <c r="W705" s="17"/>
      <c r="X705" s="17">
        <v>0.51764294575794001</v>
      </c>
      <c r="Y705" s="17">
        <v>0.51310227473680803</v>
      </c>
    </row>
    <row r="706" spans="2:25" x14ac:dyDescent="0.35">
      <c r="B706" t="s">
        <v>282</v>
      </c>
      <c r="C706" s="17">
        <v>0.15064999475948801</v>
      </c>
      <c r="D706" s="17">
        <v>0.15755755678542199</v>
      </c>
      <c r="E706" s="17">
        <v>0.14215984176690599</v>
      </c>
      <c r="F706" s="17"/>
      <c r="G706" s="17">
        <v>0.25138181115214697</v>
      </c>
      <c r="H706" s="17">
        <v>0.184084806107849</v>
      </c>
      <c r="I706" s="17">
        <v>0.13923417315720099</v>
      </c>
      <c r="J706" s="17">
        <v>0.13272053138498099</v>
      </c>
      <c r="K706" s="17">
        <v>0.10225330377052801</v>
      </c>
      <c r="L706" s="17">
        <v>0.17313384527205999</v>
      </c>
      <c r="M706" s="17"/>
      <c r="N706" s="17">
        <v>0.266231295806937</v>
      </c>
      <c r="O706" s="17">
        <v>0.18441877139809701</v>
      </c>
      <c r="P706" s="17">
        <v>0.18527956056283201</v>
      </c>
      <c r="Q706" s="17">
        <v>0.25832550095741202</v>
      </c>
      <c r="R706" s="17">
        <v>5.6640302972140198E-2</v>
      </c>
      <c r="S706" s="17">
        <v>0.18398753913538901</v>
      </c>
      <c r="T706" s="17">
        <v>0.104126848261083</v>
      </c>
      <c r="U706" s="17">
        <v>8.3162844344757195E-2</v>
      </c>
      <c r="V706" s="17">
        <v>0.28829105835191499</v>
      </c>
      <c r="W706" s="17"/>
      <c r="X706" s="17">
        <v>0.152353049468163</v>
      </c>
      <c r="Y706" s="17">
        <v>0.149203449977657</v>
      </c>
    </row>
    <row r="707" spans="2:25" x14ac:dyDescent="0.35">
      <c r="B707" t="s">
        <v>92</v>
      </c>
      <c r="C707" s="17">
        <v>0.36453771464653101</v>
      </c>
      <c r="D707" s="17">
        <v>0.36147776907777901</v>
      </c>
      <c r="E707" s="17">
        <v>0.36960978099048503</v>
      </c>
      <c r="F707" s="17"/>
      <c r="G707" s="17">
        <v>0.21006024801326201</v>
      </c>
      <c r="H707" s="17">
        <v>0.31713493731424502</v>
      </c>
      <c r="I707" s="17">
        <v>0.369626519711655</v>
      </c>
      <c r="J707" s="17">
        <v>0.395609335384356</v>
      </c>
      <c r="K707" s="17">
        <v>0.446622987827338</v>
      </c>
      <c r="L707" s="17">
        <v>0.48673503493455</v>
      </c>
      <c r="M707" s="17"/>
      <c r="N707" s="17">
        <v>7.7105129741282799E-3</v>
      </c>
      <c r="O707" s="17">
        <v>0.19993585048764501</v>
      </c>
      <c r="P707" s="17">
        <v>0.27231383778516299</v>
      </c>
      <c r="Q707" s="17">
        <v>0.121557114948736</v>
      </c>
      <c r="R707" s="17">
        <v>0.62334118274289396</v>
      </c>
      <c r="S707" s="17">
        <v>0.234547592746678</v>
      </c>
      <c r="T707" s="17">
        <v>0.43980385565073499</v>
      </c>
      <c r="U707" s="17">
        <v>0.64813791364079898</v>
      </c>
      <c r="V707" s="17">
        <v>-7.1387107281540699E-2</v>
      </c>
      <c r="W707" s="17"/>
      <c r="X707" s="17">
        <v>0.36528989628977798</v>
      </c>
      <c r="Y707" s="17">
        <v>0.36389882475915197</v>
      </c>
    </row>
    <row r="708" spans="2:25" x14ac:dyDescent="0.35">
      <c r="C708" s="17"/>
      <c r="D708" s="17"/>
      <c r="E708" s="17"/>
      <c r="F708" s="17"/>
      <c r="G708" s="17"/>
      <c r="H708" s="17"/>
      <c r="I708" s="17"/>
      <c r="J708" s="17"/>
      <c r="K708" s="17"/>
      <c r="L708" s="17"/>
      <c r="M708" s="17"/>
      <c r="N708" s="17"/>
      <c r="O708" s="17"/>
      <c r="P708" s="17"/>
      <c r="Q708" s="17"/>
      <c r="R708" s="17"/>
      <c r="S708" s="17"/>
      <c r="T708" s="17"/>
      <c r="U708" s="17"/>
      <c r="V708" s="17"/>
      <c r="W708" s="17"/>
      <c r="X708" s="17"/>
      <c r="Y708" s="17"/>
    </row>
    <row r="709" spans="2:25" x14ac:dyDescent="0.35">
      <c r="B709" s="6" t="s">
        <v>300</v>
      </c>
      <c r="C709" s="17"/>
      <c r="D709" s="17"/>
      <c r="E709" s="17"/>
      <c r="F709" s="17"/>
      <c r="G709" s="17"/>
      <c r="H709" s="17"/>
      <c r="I709" s="17"/>
      <c r="J709" s="17"/>
      <c r="K709" s="17"/>
      <c r="L709" s="17"/>
      <c r="M709" s="17"/>
      <c r="N709" s="17"/>
      <c r="O709" s="17"/>
      <c r="P709" s="17"/>
      <c r="Q709" s="17"/>
      <c r="R709" s="17"/>
      <c r="S709" s="17"/>
      <c r="T709" s="17"/>
      <c r="U709" s="17"/>
      <c r="V709" s="17"/>
      <c r="W709" s="17"/>
      <c r="X709" s="17"/>
      <c r="Y709" s="17"/>
    </row>
    <row r="710" spans="2:25" x14ac:dyDescent="0.35">
      <c r="B710" s="24" t="s">
        <v>50</v>
      </c>
      <c r="C710" s="17"/>
      <c r="D710" s="17"/>
      <c r="E710" s="17"/>
      <c r="F710" s="17"/>
      <c r="G710" s="17"/>
      <c r="H710" s="17"/>
      <c r="I710" s="17"/>
      <c r="J710" s="17"/>
      <c r="K710" s="17"/>
      <c r="L710" s="17"/>
      <c r="M710" s="17"/>
      <c r="N710" s="17"/>
      <c r="O710" s="17"/>
      <c r="P710" s="17"/>
      <c r="Q710" s="17"/>
      <c r="R710" s="17"/>
      <c r="S710" s="17"/>
      <c r="T710" s="17"/>
      <c r="U710" s="17"/>
      <c r="V710" s="17"/>
      <c r="W710" s="17"/>
      <c r="X710" s="17"/>
      <c r="Y710" s="17"/>
    </row>
    <row r="711" spans="2:25" x14ac:dyDescent="0.35">
      <c r="B711" t="s">
        <v>276</v>
      </c>
      <c r="C711" s="17">
        <v>0.49205816336378699</v>
      </c>
      <c r="D711" s="17">
        <v>0.47961883764885699</v>
      </c>
      <c r="E711" s="17">
        <v>0.50322520087653</v>
      </c>
      <c r="F711" s="17"/>
      <c r="G711" s="17">
        <v>0.50714893661107396</v>
      </c>
      <c r="H711" s="17">
        <v>0.45886829355471898</v>
      </c>
      <c r="I711" s="17">
        <v>0.51272378683540798</v>
      </c>
      <c r="J711" s="17">
        <v>0.48098319685927998</v>
      </c>
      <c r="K711" s="17">
        <v>0.50934594488478102</v>
      </c>
      <c r="L711" s="17">
        <v>0.48902298008481598</v>
      </c>
      <c r="M711" s="17"/>
      <c r="N711" s="17">
        <v>0.439166017679814</v>
      </c>
      <c r="O711" s="17">
        <v>0.45420192811624999</v>
      </c>
      <c r="P711" s="17">
        <v>0.50305834953554895</v>
      </c>
      <c r="Q711" s="17">
        <v>0.44687532052214302</v>
      </c>
      <c r="R711" s="17">
        <v>0.46088032672451101</v>
      </c>
      <c r="S711" s="17">
        <v>0.51451471607277799</v>
      </c>
      <c r="T711" s="17">
        <v>0.48850023645574803</v>
      </c>
      <c r="U711" s="17">
        <v>0.57060045350249899</v>
      </c>
      <c r="V711" s="17">
        <v>0.45732214832602702</v>
      </c>
      <c r="W711" s="17"/>
      <c r="X711" s="17">
        <v>0.45502146585495501</v>
      </c>
      <c r="Y711" s="17">
        <v>0.51255303199508195</v>
      </c>
    </row>
    <row r="712" spans="2:25" x14ac:dyDescent="0.35">
      <c r="B712" t="s">
        <v>277</v>
      </c>
      <c r="C712" s="17">
        <v>0.40942055715264702</v>
      </c>
      <c r="D712" s="17">
        <v>0.410031574720082</v>
      </c>
      <c r="E712" s="17">
        <v>0.40899447185000998</v>
      </c>
      <c r="F712" s="17"/>
      <c r="G712" s="17">
        <v>0.39319422053367697</v>
      </c>
      <c r="H712" s="17">
        <v>0.41863128879245998</v>
      </c>
      <c r="I712" s="17">
        <v>0.390685578887914</v>
      </c>
      <c r="J712" s="17">
        <v>0.41648973239234199</v>
      </c>
      <c r="K712" s="17">
        <v>0.39090030786432001</v>
      </c>
      <c r="L712" s="17">
        <v>0.42938379676884603</v>
      </c>
      <c r="M712" s="17"/>
      <c r="N712" s="17">
        <v>0.44238517680691802</v>
      </c>
      <c r="O712" s="17">
        <v>0.445199699278849</v>
      </c>
      <c r="P712" s="17">
        <v>0.424598161953051</v>
      </c>
      <c r="Q712" s="17">
        <v>0.41142242118072198</v>
      </c>
      <c r="R712" s="17">
        <v>0.45158858063718899</v>
      </c>
      <c r="S712" s="17">
        <v>0.37748513529656502</v>
      </c>
      <c r="T712" s="17">
        <v>0.44499764437106498</v>
      </c>
      <c r="U712" s="17">
        <v>0.332639827658819</v>
      </c>
      <c r="V712" s="17">
        <v>0.40965682953754701</v>
      </c>
      <c r="W712" s="17"/>
      <c r="X712" s="17">
        <v>0.43817807989492302</v>
      </c>
      <c r="Y712" s="17">
        <v>0.39350710669924599</v>
      </c>
    </row>
    <row r="713" spans="2:25" x14ac:dyDescent="0.35">
      <c r="B713" t="s">
        <v>298</v>
      </c>
      <c r="C713" s="17">
        <v>7.3185998708082595E-2</v>
      </c>
      <c r="D713" s="17">
        <v>8.5346017101997101E-2</v>
      </c>
      <c r="E713" s="17">
        <v>6.20313974092171E-2</v>
      </c>
      <c r="F713" s="17"/>
      <c r="G713" s="17">
        <v>7.7386392040932395E-2</v>
      </c>
      <c r="H713" s="17">
        <v>9.1004214504279798E-2</v>
      </c>
      <c r="I713" s="17">
        <v>7.3895607651453102E-2</v>
      </c>
      <c r="J713" s="17">
        <v>6.70466769236472E-2</v>
      </c>
      <c r="K713" s="17">
        <v>7.8302080933228005E-2</v>
      </c>
      <c r="L713" s="17">
        <v>6.1447333524247E-2</v>
      </c>
      <c r="M713" s="17"/>
      <c r="N713" s="17">
        <v>7.5981114899887903E-2</v>
      </c>
      <c r="O713" s="17">
        <v>7.6027160756482304E-2</v>
      </c>
      <c r="P713" s="17">
        <v>5.3327771458715499E-2</v>
      </c>
      <c r="Q713" s="17">
        <v>0.10731221873593901</v>
      </c>
      <c r="R713" s="17">
        <v>6.2863484467518299E-2</v>
      </c>
      <c r="S713" s="17">
        <v>7.4116824628430097E-2</v>
      </c>
      <c r="T713" s="17">
        <v>5.2300312907942799E-2</v>
      </c>
      <c r="U713" s="17">
        <v>7.7717363639995402E-2</v>
      </c>
      <c r="V713" s="17">
        <v>9.9105544260168807E-2</v>
      </c>
      <c r="W713" s="17"/>
      <c r="X713" s="17">
        <v>8.1637105447240899E-2</v>
      </c>
      <c r="Y713" s="17">
        <v>6.8509439131819297E-2</v>
      </c>
    </row>
    <row r="714" spans="2:25" x14ac:dyDescent="0.35">
      <c r="B714" t="s">
        <v>279</v>
      </c>
      <c r="C714" s="17">
        <v>1.02171778497613E-2</v>
      </c>
      <c r="D714" s="17">
        <v>1.22887718876939E-2</v>
      </c>
      <c r="E714" s="17">
        <v>8.3078611168370797E-3</v>
      </c>
      <c r="F714" s="17"/>
      <c r="G714" s="17">
        <v>1.11536273801755E-2</v>
      </c>
      <c r="H714" s="17">
        <v>2.1306461494841701E-2</v>
      </c>
      <c r="I714" s="17">
        <v>1.12264970413457E-2</v>
      </c>
      <c r="J714" s="17">
        <v>7.65970267043776E-3</v>
      </c>
      <c r="K714" s="17">
        <v>8.0807863203227696E-3</v>
      </c>
      <c r="L714" s="17">
        <v>5.8104235124759101E-3</v>
      </c>
      <c r="M714" s="17"/>
      <c r="N714" s="17">
        <v>2.2277505838757702E-2</v>
      </c>
      <c r="O714" s="17">
        <v>1.6315921822316001E-2</v>
      </c>
      <c r="P714" s="17">
        <v>5.8169491211817201E-3</v>
      </c>
      <c r="Q714" s="17">
        <v>1.7817282647252401E-2</v>
      </c>
      <c r="R714" s="17">
        <v>7.3685093526695304E-3</v>
      </c>
      <c r="S714" s="17">
        <v>1.21722111801809E-2</v>
      </c>
      <c r="T714" s="17">
        <v>3.9110690509974897E-3</v>
      </c>
      <c r="U714" s="17">
        <v>8.9610605880483599E-3</v>
      </c>
      <c r="V714" s="17">
        <v>1.4125282904335399E-2</v>
      </c>
      <c r="W714" s="17"/>
      <c r="X714" s="17">
        <v>1.35546295285824E-2</v>
      </c>
      <c r="Y714" s="17">
        <v>8.3703438088908698E-3</v>
      </c>
    </row>
    <row r="715" spans="2:25" x14ac:dyDescent="0.35">
      <c r="B715" t="s">
        <v>280</v>
      </c>
      <c r="C715" s="17">
        <v>3.8355880548367198E-3</v>
      </c>
      <c r="D715" s="17">
        <v>5.7278777797248803E-3</v>
      </c>
      <c r="E715" s="17">
        <v>2.06953314657351E-3</v>
      </c>
      <c r="F715" s="17"/>
      <c r="G715" s="17">
        <v>4.34097895409216E-3</v>
      </c>
      <c r="H715" s="17">
        <v>3.0137717806292901E-3</v>
      </c>
      <c r="I715" s="17">
        <v>2.97919240868544E-3</v>
      </c>
      <c r="J715" s="17">
        <v>8.37575768732211E-3</v>
      </c>
      <c r="K715" s="17">
        <v>8.9457790525869203E-4</v>
      </c>
      <c r="L715" s="17">
        <v>3.5166584280530299E-3</v>
      </c>
      <c r="M715" s="17"/>
      <c r="N715" s="17">
        <v>0</v>
      </c>
      <c r="O715" s="17">
        <v>4.0991341966630703E-3</v>
      </c>
      <c r="P715" s="17">
        <v>1.4200254834145301E-3</v>
      </c>
      <c r="Q715" s="17">
        <v>5.93722539616793E-3</v>
      </c>
      <c r="R715" s="17">
        <v>4.36211803749107E-3</v>
      </c>
      <c r="S715" s="17">
        <v>6.95120913273188E-3</v>
      </c>
      <c r="T715" s="17">
        <v>2.9366696733732298E-3</v>
      </c>
      <c r="U715" s="17">
        <v>2.7139605821328802E-3</v>
      </c>
      <c r="V715" s="17">
        <v>2.4397591464222698E-3</v>
      </c>
      <c r="W715" s="17"/>
      <c r="X715" s="17">
        <v>5.1573937665703303E-3</v>
      </c>
      <c r="Y715" s="17">
        <v>3.1041450202191098E-3</v>
      </c>
    </row>
    <row r="716" spans="2:25" x14ac:dyDescent="0.35">
      <c r="B716" t="s">
        <v>224</v>
      </c>
      <c r="C716" s="17">
        <v>1.1282514870885101E-2</v>
      </c>
      <c r="D716" s="17">
        <v>6.9869208616447397E-3</v>
      </c>
      <c r="E716" s="17">
        <v>1.53715356008325E-2</v>
      </c>
      <c r="F716" s="17"/>
      <c r="G716" s="17">
        <v>6.7758444800490401E-3</v>
      </c>
      <c r="H716" s="17">
        <v>7.1759698730703E-3</v>
      </c>
      <c r="I716" s="17">
        <v>8.4893371751943499E-3</v>
      </c>
      <c r="J716" s="17">
        <v>1.9444933466970502E-2</v>
      </c>
      <c r="K716" s="17">
        <v>1.2476302092088601E-2</v>
      </c>
      <c r="L716" s="17">
        <v>1.0818807681562299E-2</v>
      </c>
      <c r="M716" s="17"/>
      <c r="N716" s="17">
        <v>2.01901847746223E-2</v>
      </c>
      <c r="O716" s="17">
        <v>4.1561558294397703E-3</v>
      </c>
      <c r="P716" s="17">
        <v>1.17787424480881E-2</v>
      </c>
      <c r="Q716" s="17">
        <v>1.06355315177752E-2</v>
      </c>
      <c r="R716" s="17">
        <v>1.29369807806211E-2</v>
      </c>
      <c r="S716" s="17">
        <v>1.4759903689314E-2</v>
      </c>
      <c r="T716" s="17">
        <v>7.3540675408728202E-3</v>
      </c>
      <c r="U716" s="17">
        <v>7.3673340285051597E-3</v>
      </c>
      <c r="V716" s="17">
        <v>1.7350435825499302E-2</v>
      </c>
      <c r="W716" s="17"/>
      <c r="X716" s="17">
        <v>6.4513255077280601E-3</v>
      </c>
      <c r="Y716" s="17">
        <v>1.39559333447433E-2</v>
      </c>
    </row>
    <row r="717" spans="2:25" x14ac:dyDescent="0.35">
      <c r="B717" t="s">
        <v>281</v>
      </c>
      <c r="C717" s="17">
        <v>0.90147872051643396</v>
      </c>
      <c r="D717" s="17">
        <v>0.88965041236893905</v>
      </c>
      <c r="E717" s="17">
        <v>0.91221967272654003</v>
      </c>
      <c r="F717" s="17"/>
      <c r="G717" s="17">
        <v>0.90034315714475099</v>
      </c>
      <c r="H717" s="17">
        <v>0.87749958234717895</v>
      </c>
      <c r="I717" s="17">
        <v>0.90340936572332098</v>
      </c>
      <c r="J717" s="17">
        <v>0.89747292925162203</v>
      </c>
      <c r="K717" s="17">
        <v>0.90024625274910197</v>
      </c>
      <c r="L717" s="17">
        <v>0.91840677685366201</v>
      </c>
      <c r="M717" s="17"/>
      <c r="N717" s="17">
        <v>0.88155119448673203</v>
      </c>
      <c r="O717" s="17">
        <v>0.89940162739509899</v>
      </c>
      <c r="P717" s="17">
        <v>0.92765651148859996</v>
      </c>
      <c r="Q717" s="17">
        <v>0.85829774170286499</v>
      </c>
      <c r="R717" s="17">
        <v>0.91246890736170005</v>
      </c>
      <c r="S717" s="17">
        <v>0.89199985136934301</v>
      </c>
      <c r="T717" s="17">
        <v>0.93349788082681395</v>
      </c>
      <c r="U717" s="17">
        <v>0.90324028116131805</v>
      </c>
      <c r="V717" s="17">
        <v>0.86697897786357403</v>
      </c>
      <c r="W717" s="17"/>
      <c r="X717" s="17">
        <v>0.89319954574987803</v>
      </c>
      <c r="Y717" s="17">
        <v>0.906060138694327</v>
      </c>
    </row>
    <row r="718" spans="2:25" x14ac:dyDescent="0.35">
      <c r="B718" t="s">
        <v>282</v>
      </c>
      <c r="C718" s="17">
        <v>1.4052765904598001E-2</v>
      </c>
      <c r="D718" s="17">
        <v>1.80166496674188E-2</v>
      </c>
      <c r="E718" s="17">
        <v>1.03773942634106E-2</v>
      </c>
      <c r="F718" s="17"/>
      <c r="G718" s="17">
        <v>1.54946063342677E-2</v>
      </c>
      <c r="H718" s="17">
        <v>2.43202332754709E-2</v>
      </c>
      <c r="I718" s="17">
        <v>1.42056894500312E-2</v>
      </c>
      <c r="J718" s="17">
        <v>1.6035460357759899E-2</v>
      </c>
      <c r="K718" s="17">
        <v>8.9753642255814697E-3</v>
      </c>
      <c r="L718" s="17">
        <v>9.3270819405289404E-3</v>
      </c>
      <c r="M718" s="17"/>
      <c r="N718" s="17">
        <v>2.2277505838757702E-2</v>
      </c>
      <c r="O718" s="17">
        <v>2.0415056018979E-2</v>
      </c>
      <c r="P718" s="17">
        <v>7.23697460459625E-3</v>
      </c>
      <c r="Q718" s="17">
        <v>2.3754508043420299E-2</v>
      </c>
      <c r="R718" s="17">
        <v>1.17306273901606E-2</v>
      </c>
      <c r="S718" s="17">
        <v>1.9123420312912798E-2</v>
      </c>
      <c r="T718" s="17">
        <v>6.84773872437071E-3</v>
      </c>
      <c r="U718" s="17">
        <v>1.16750211701812E-2</v>
      </c>
      <c r="V718" s="17">
        <v>1.6565042050757699E-2</v>
      </c>
      <c r="W718" s="17"/>
      <c r="X718" s="17">
        <v>1.8712023295152699E-2</v>
      </c>
      <c r="Y718" s="17">
        <v>1.1474488829110001E-2</v>
      </c>
    </row>
    <row r="719" spans="2:25" x14ac:dyDescent="0.35">
      <c r="B719" t="s">
        <v>92</v>
      </c>
      <c r="C719" s="17">
        <v>0.88742595461183604</v>
      </c>
      <c r="D719" s="17">
        <v>0.87163376270152004</v>
      </c>
      <c r="E719" s="17">
        <v>0.90184227846312903</v>
      </c>
      <c r="F719" s="17"/>
      <c r="G719" s="17">
        <v>0.88484855081048297</v>
      </c>
      <c r="H719" s="17">
        <v>0.853179349071708</v>
      </c>
      <c r="I719" s="17">
        <v>0.88920367627329</v>
      </c>
      <c r="J719" s="17">
        <v>0.88143746889386299</v>
      </c>
      <c r="K719" s="17">
        <v>0.89127088852352099</v>
      </c>
      <c r="L719" s="17">
        <v>0.90907969491313301</v>
      </c>
      <c r="M719" s="17"/>
      <c r="N719" s="17">
        <v>0.85927368864797404</v>
      </c>
      <c r="O719" s="17">
        <v>0.87898657137612002</v>
      </c>
      <c r="P719" s="17">
        <v>0.92041953688400402</v>
      </c>
      <c r="Q719" s="17">
        <v>0.83454323365944505</v>
      </c>
      <c r="R719" s="17">
        <v>0.90073827997153899</v>
      </c>
      <c r="S719" s="17">
        <v>0.87287643105642998</v>
      </c>
      <c r="T719" s="17">
        <v>0.92665014210244301</v>
      </c>
      <c r="U719" s="17">
        <v>0.891565259991137</v>
      </c>
      <c r="V719" s="17">
        <v>0.85041393581281699</v>
      </c>
      <c r="W719" s="17"/>
      <c r="X719" s="17">
        <v>0.87448752245472605</v>
      </c>
      <c r="Y719" s="17">
        <v>0.89458564986521705</v>
      </c>
    </row>
    <row r="720" spans="2:25" x14ac:dyDescent="0.35">
      <c r="C720" s="17"/>
      <c r="D720" s="17"/>
      <c r="E720" s="17"/>
      <c r="F720" s="17"/>
      <c r="G720" s="17"/>
      <c r="H720" s="17"/>
      <c r="I720" s="17"/>
      <c r="J720" s="17"/>
      <c r="K720" s="17"/>
      <c r="L720" s="17"/>
      <c r="M720" s="17"/>
      <c r="N720" s="17"/>
      <c r="O720" s="17"/>
      <c r="P720" s="17"/>
      <c r="Q720" s="17"/>
      <c r="R720" s="17"/>
      <c r="S720" s="17"/>
      <c r="T720" s="17"/>
      <c r="U720" s="17"/>
      <c r="V720" s="17"/>
      <c r="W720" s="17"/>
      <c r="X720" s="17"/>
      <c r="Y720" s="17"/>
    </row>
    <row r="721" spans="2:25" x14ac:dyDescent="0.35">
      <c r="B721" s="6" t="s">
        <v>301</v>
      </c>
      <c r="C721" s="17"/>
      <c r="D721" s="17"/>
      <c r="E721" s="17"/>
      <c r="F721" s="17"/>
      <c r="G721" s="17"/>
      <c r="H721" s="17"/>
      <c r="I721" s="17"/>
      <c r="J721" s="17"/>
      <c r="K721" s="17"/>
      <c r="L721" s="17"/>
      <c r="M721" s="17"/>
      <c r="N721" s="17"/>
      <c r="O721" s="17"/>
      <c r="P721" s="17"/>
      <c r="Q721" s="17"/>
      <c r="R721" s="17"/>
      <c r="S721" s="17"/>
      <c r="T721" s="17"/>
      <c r="U721" s="17"/>
      <c r="V721" s="17"/>
      <c r="W721" s="17"/>
      <c r="X721" s="17"/>
      <c r="Y721" s="17"/>
    </row>
    <row r="722" spans="2:25" x14ac:dyDescent="0.35">
      <c r="B722" s="33" t="s">
        <v>50</v>
      </c>
      <c r="C722" s="17"/>
      <c r="D722" s="17"/>
      <c r="E722" s="17"/>
      <c r="F722" s="17"/>
      <c r="G722" s="17"/>
      <c r="H722" s="17"/>
      <c r="I722" s="17"/>
      <c r="J722" s="17"/>
      <c r="K722" s="17"/>
      <c r="L722" s="17"/>
      <c r="M722" s="17"/>
      <c r="N722" s="17"/>
      <c r="O722" s="17"/>
      <c r="P722" s="17"/>
      <c r="Q722" s="17"/>
      <c r="R722" s="17"/>
      <c r="S722" s="17"/>
      <c r="T722" s="17"/>
      <c r="U722" s="17"/>
      <c r="V722" s="17"/>
      <c r="W722" s="17"/>
      <c r="X722" s="17"/>
      <c r="Y722" s="17"/>
    </row>
    <row r="723" spans="2:25" x14ac:dyDescent="0.35">
      <c r="B723" t="s">
        <v>276</v>
      </c>
      <c r="C723" s="17">
        <v>0.52433411411575104</v>
      </c>
      <c r="D723" s="17">
        <v>0.46880394483513699</v>
      </c>
      <c r="E723" s="17">
        <v>0.57670831260129596</v>
      </c>
      <c r="F723" s="17"/>
      <c r="G723" s="17">
        <v>0.40282854537127599</v>
      </c>
      <c r="H723" s="17">
        <v>0.44371030055344501</v>
      </c>
      <c r="I723" s="17">
        <v>0.47088202748878999</v>
      </c>
      <c r="J723" s="17">
        <v>0.52074130680456199</v>
      </c>
      <c r="K723" s="17">
        <v>0.60820543351002698</v>
      </c>
      <c r="L723" s="17">
        <v>0.59884329716267404</v>
      </c>
      <c r="M723" s="17"/>
      <c r="N723" s="17">
        <v>0.51998399392472605</v>
      </c>
      <c r="O723" s="17">
        <v>0.45731402074070199</v>
      </c>
      <c r="P723" s="17">
        <v>0.44253774744440599</v>
      </c>
      <c r="Q723" s="17">
        <v>0.48483938270573901</v>
      </c>
      <c r="R723" s="17">
        <v>0.56126184440108295</v>
      </c>
      <c r="S723" s="17">
        <v>0.53437215181103204</v>
      </c>
      <c r="T723" s="17">
        <v>0.52893615592909204</v>
      </c>
      <c r="U723" s="17">
        <v>0.62136683813707705</v>
      </c>
      <c r="V723" s="17">
        <v>0.49027599325658699</v>
      </c>
      <c r="W723" s="17"/>
      <c r="X723" s="17">
        <v>0.51257298624841796</v>
      </c>
      <c r="Y723" s="17">
        <v>0.53084324991362097</v>
      </c>
    </row>
    <row r="724" spans="2:25" x14ac:dyDescent="0.35">
      <c r="B724" t="s">
        <v>277</v>
      </c>
      <c r="C724" s="17">
        <v>0.380978019916137</v>
      </c>
      <c r="D724" s="17">
        <v>0.42030247235553903</v>
      </c>
      <c r="E724" s="17">
        <v>0.34406845545947901</v>
      </c>
      <c r="F724" s="17"/>
      <c r="G724" s="17">
        <v>0.440893550962007</v>
      </c>
      <c r="H724" s="17">
        <v>0.43664817675550699</v>
      </c>
      <c r="I724" s="17">
        <v>0.42150685045562603</v>
      </c>
      <c r="J724" s="17">
        <v>0.37990864723268403</v>
      </c>
      <c r="K724" s="17">
        <v>0.32753382552809601</v>
      </c>
      <c r="L724" s="17">
        <v>0.33561987239427898</v>
      </c>
      <c r="M724" s="17"/>
      <c r="N724" s="17">
        <v>0.41202825479569199</v>
      </c>
      <c r="O724" s="17">
        <v>0.42232146137926502</v>
      </c>
      <c r="P724" s="17">
        <v>0.466240440017334</v>
      </c>
      <c r="Q724" s="17">
        <v>0.37927126997731903</v>
      </c>
      <c r="R724" s="17">
        <v>0.37626039235033398</v>
      </c>
      <c r="S724" s="17">
        <v>0.36411325077586099</v>
      </c>
      <c r="T724" s="17">
        <v>0.39877259657845598</v>
      </c>
      <c r="U724" s="17">
        <v>0.28330105487652502</v>
      </c>
      <c r="V724" s="17">
        <v>0.39019837496649101</v>
      </c>
      <c r="W724" s="17"/>
      <c r="X724" s="17">
        <v>0.40101973220678999</v>
      </c>
      <c r="Y724" s="17">
        <v>0.36988603720893098</v>
      </c>
    </row>
    <row r="725" spans="2:25" x14ac:dyDescent="0.35">
      <c r="B725" t="s">
        <v>298</v>
      </c>
      <c r="C725" s="17">
        <v>6.6746891301097594E-2</v>
      </c>
      <c r="D725" s="17">
        <v>8.51905035710257E-2</v>
      </c>
      <c r="E725" s="17">
        <v>4.96544149156763E-2</v>
      </c>
      <c r="F725" s="17"/>
      <c r="G725" s="17">
        <v>0.11788129430085099</v>
      </c>
      <c r="H725" s="17">
        <v>9.0800892639126898E-2</v>
      </c>
      <c r="I725" s="17">
        <v>7.6940277047675407E-2</v>
      </c>
      <c r="J725" s="17">
        <v>6.7211351976569703E-2</v>
      </c>
      <c r="K725" s="17">
        <v>4.47171580659309E-2</v>
      </c>
      <c r="L725" s="17">
        <v>4.1112997141020999E-2</v>
      </c>
      <c r="M725" s="17"/>
      <c r="N725" s="17">
        <v>3.7089079116154E-2</v>
      </c>
      <c r="O725" s="17">
        <v>6.3174477800287301E-2</v>
      </c>
      <c r="P725" s="17">
        <v>6.17204493192628E-2</v>
      </c>
      <c r="Q725" s="17">
        <v>9.8655704227694194E-2</v>
      </c>
      <c r="R725" s="17">
        <v>3.7156882805136897E-2</v>
      </c>
      <c r="S725" s="17">
        <v>7.2832461940175994E-2</v>
      </c>
      <c r="T725" s="17">
        <v>5.6034214009983201E-2</v>
      </c>
      <c r="U725" s="17">
        <v>7.4717275268276498E-2</v>
      </c>
      <c r="V725" s="17">
        <v>8.2415594576800297E-2</v>
      </c>
      <c r="W725" s="17"/>
      <c r="X725" s="17">
        <v>6.2560437360457105E-2</v>
      </c>
      <c r="Y725" s="17">
        <v>6.9063862727523795E-2</v>
      </c>
    </row>
    <row r="726" spans="2:25" x14ac:dyDescent="0.35">
      <c r="B726" t="s">
        <v>279</v>
      </c>
      <c r="C726" s="17">
        <v>1.0942282383844299E-2</v>
      </c>
      <c r="D726" s="17">
        <v>1.3379039491618901E-2</v>
      </c>
      <c r="E726" s="17">
        <v>8.3781226755443809E-3</v>
      </c>
      <c r="F726" s="17"/>
      <c r="G726" s="17">
        <v>2.0381760738513E-2</v>
      </c>
      <c r="H726" s="17">
        <v>1.9726122235710301E-2</v>
      </c>
      <c r="I726" s="17">
        <v>1.8617472124782701E-2</v>
      </c>
      <c r="J726" s="17">
        <v>4.3972551392769503E-3</v>
      </c>
      <c r="K726" s="17">
        <v>5.0634947895047697E-3</v>
      </c>
      <c r="L726" s="17">
        <v>5.6464037346034496E-3</v>
      </c>
      <c r="M726" s="17"/>
      <c r="N726" s="17">
        <v>1.0644190190483399E-2</v>
      </c>
      <c r="O726" s="17">
        <v>4.2940473927358599E-3</v>
      </c>
      <c r="P726" s="17">
        <v>1.0744828122262301E-2</v>
      </c>
      <c r="Q726" s="17">
        <v>1.55832431708044E-2</v>
      </c>
      <c r="R726" s="17">
        <v>8.4877896124910795E-3</v>
      </c>
      <c r="S726" s="17">
        <v>1.18762468235157E-2</v>
      </c>
      <c r="T726" s="17">
        <v>9.8239611957779693E-3</v>
      </c>
      <c r="U726" s="17">
        <v>8.6976848619861897E-3</v>
      </c>
      <c r="V726" s="17">
        <v>1.55212440721987E-2</v>
      </c>
      <c r="W726" s="17"/>
      <c r="X726" s="17">
        <v>1.4112758408305E-2</v>
      </c>
      <c r="Y726" s="17">
        <v>9.1875987157562008E-3</v>
      </c>
    </row>
    <row r="727" spans="2:25" x14ac:dyDescent="0.35">
      <c r="B727" t="s">
        <v>280</v>
      </c>
      <c r="C727" s="17">
        <v>3.8674565100894598E-3</v>
      </c>
      <c r="D727" s="17">
        <v>3.7157710846019302E-3</v>
      </c>
      <c r="E727" s="17">
        <v>3.74979295114845E-3</v>
      </c>
      <c r="F727" s="17"/>
      <c r="G727" s="17">
        <v>6.5599044710462602E-3</v>
      </c>
      <c r="H727" s="17">
        <v>7.7968379948646605E-4</v>
      </c>
      <c r="I727" s="17">
        <v>2.6807913823495302E-3</v>
      </c>
      <c r="J727" s="17">
        <v>7.4593621017743604E-3</v>
      </c>
      <c r="K727" s="17">
        <v>1.66412503404384E-3</v>
      </c>
      <c r="L727" s="17">
        <v>4.4505357613046498E-3</v>
      </c>
      <c r="M727" s="17"/>
      <c r="N727" s="17">
        <v>0</v>
      </c>
      <c r="O727" s="17">
        <v>3.3701361388906999E-3</v>
      </c>
      <c r="P727" s="17">
        <v>2.9439360995336099E-3</v>
      </c>
      <c r="Q727" s="17">
        <v>6.0632464040227697E-3</v>
      </c>
      <c r="R727" s="17">
        <v>7.8589835499201597E-3</v>
      </c>
      <c r="S727" s="17">
        <v>3.6072823005107299E-3</v>
      </c>
      <c r="T727" s="17">
        <v>9.7626018625398203E-4</v>
      </c>
      <c r="U727" s="17">
        <v>3.43316186459668E-3</v>
      </c>
      <c r="V727" s="17">
        <v>1.9743281890844001E-3</v>
      </c>
      <c r="W727" s="17"/>
      <c r="X727" s="17">
        <v>3.41241278486186E-3</v>
      </c>
      <c r="Y727" s="17">
        <v>4.1192981221258203E-3</v>
      </c>
    </row>
    <row r="728" spans="2:25" x14ac:dyDescent="0.35">
      <c r="B728" t="s">
        <v>224</v>
      </c>
      <c r="C728" s="17">
        <v>1.3131235773080599E-2</v>
      </c>
      <c r="D728" s="17">
        <v>8.6082686620778098E-3</v>
      </c>
      <c r="E728" s="17">
        <v>1.74409013968552E-2</v>
      </c>
      <c r="F728" s="17"/>
      <c r="G728" s="17">
        <v>1.14549441563064E-2</v>
      </c>
      <c r="H728" s="17">
        <v>8.3348240167246193E-3</v>
      </c>
      <c r="I728" s="17">
        <v>9.3725815007767495E-3</v>
      </c>
      <c r="J728" s="17">
        <v>2.0282076745132899E-2</v>
      </c>
      <c r="K728" s="17">
        <v>1.2815963072398099E-2</v>
      </c>
      <c r="L728" s="17">
        <v>1.43268938061181E-2</v>
      </c>
      <c r="M728" s="17"/>
      <c r="N728" s="17">
        <v>2.0254481972943598E-2</v>
      </c>
      <c r="O728" s="17">
        <v>4.9525856548118599E-2</v>
      </c>
      <c r="P728" s="17">
        <v>1.5812598997200999E-2</v>
      </c>
      <c r="Q728" s="17">
        <v>1.55871535144213E-2</v>
      </c>
      <c r="R728" s="17">
        <v>8.9741072810354296E-3</v>
      </c>
      <c r="S728" s="17">
        <v>1.31986063489044E-2</v>
      </c>
      <c r="T728" s="17">
        <v>5.4568121004371596E-3</v>
      </c>
      <c r="U728" s="17">
        <v>8.4839849915380808E-3</v>
      </c>
      <c r="V728" s="17">
        <v>1.96144649388388E-2</v>
      </c>
      <c r="W728" s="17"/>
      <c r="X728" s="17">
        <v>6.3216729911683396E-3</v>
      </c>
      <c r="Y728" s="17">
        <v>1.6899953312041999E-2</v>
      </c>
    </row>
    <row r="729" spans="2:25" x14ac:dyDescent="0.35">
      <c r="B729" t="s">
        <v>281</v>
      </c>
      <c r="C729" s="17">
        <v>0.90531213403188804</v>
      </c>
      <c r="D729" s="17">
        <v>0.88910641719067596</v>
      </c>
      <c r="E729" s="17">
        <v>0.92077676806077602</v>
      </c>
      <c r="F729" s="17"/>
      <c r="G729" s="17">
        <v>0.84372209633328299</v>
      </c>
      <c r="H729" s="17">
        <v>0.880358477308952</v>
      </c>
      <c r="I729" s="17">
        <v>0.89238887794441601</v>
      </c>
      <c r="J729" s="17">
        <v>0.90064995403724601</v>
      </c>
      <c r="K729" s="17">
        <v>0.93573925903812205</v>
      </c>
      <c r="L729" s="17">
        <v>0.93446316955695297</v>
      </c>
      <c r="M729" s="17"/>
      <c r="N729" s="17">
        <v>0.93201224872041899</v>
      </c>
      <c r="O729" s="17">
        <v>0.879635482119967</v>
      </c>
      <c r="P729" s="17">
        <v>0.90877818746173999</v>
      </c>
      <c r="Q729" s="17">
        <v>0.86411065268305698</v>
      </c>
      <c r="R729" s="17">
        <v>0.93752223675141599</v>
      </c>
      <c r="S729" s="17">
        <v>0.89848540258689302</v>
      </c>
      <c r="T729" s="17">
        <v>0.92770875250754803</v>
      </c>
      <c r="U729" s="17">
        <v>0.90466789301360295</v>
      </c>
      <c r="V729" s="17">
        <v>0.88047436822307801</v>
      </c>
      <c r="W729" s="17"/>
      <c r="X729" s="17">
        <v>0.91359271845520795</v>
      </c>
      <c r="Y729" s="17">
        <v>0.90072928712255196</v>
      </c>
    </row>
    <row r="730" spans="2:25" x14ac:dyDescent="0.35">
      <c r="B730" t="s">
        <v>282</v>
      </c>
      <c r="C730" s="17">
        <v>1.4809738893933701E-2</v>
      </c>
      <c r="D730" s="17">
        <v>1.7094810576220799E-2</v>
      </c>
      <c r="E730" s="17">
        <v>1.21279156266928E-2</v>
      </c>
      <c r="F730" s="17"/>
      <c r="G730" s="17">
        <v>2.6941665209559301E-2</v>
      </c>
      <c r="H730" s="17">
        <v>2.0505806035196798E-2</v>
      </c>
      <c r="I730" s="17">
        <v>2.1298263507132199E-2</v>
      </c>
      <c r="J730" s="17">
        <v>1.18566172410513E-2</v>
      </c>
      <c r="K730" s="17">
        <v>6.7276198235486102E-3</v>
      </c>
      <c r="L730" s="17">
        <v>1.00969394959081E-2</v>
      </c>
      <c r="M730" s="17"/>
      <c r="N730" s="17">
        <v>1.0644190190483399E-2</v>
      </c>
      <c r="O730" s="17">
        <v>7.6641835316265602E-3</v>
      </c>
      <c r="P730" s="17">
        <v>1.36887642217959E-2</v>
      </c>
      <c r="Q730" s="17">
        <v>2.1646489574827201E-2</v>
      </c>
      <c r="R730" s="17">
        <v>1.6346773162411201E-2</v>
      </c>
      <c r="S730" s="17">
        <v>1.54835291240264E-2</v>
      </c>
      <c r="T730" s="17">
        <v>1.08002213820319E-2</v>
      </c>
      <c r="U730" s="17">
        <v>1.21308467265829E-2</v>
      </c>
      <c r="V730" s="17">
        <v>1.74955722612831E-2</v>
      </c>
      <c r="W730" s="17"/>
      <c r="X730" s="17">
        <v>1.7525171193166902E-2</v>
      </c>
      <c r="Y730" s="17">
        <v>1.3306896837882E-2</v>
      </c>
    </row>
    <row r="731" spans="2:25" x14ac:dyDescent="0.35">
      <c r="B731" t="s">
        <v>92</v>
      </c>
      <c r="C731" s="17">
        <v>0.89050239513795404</v>
      </c>
      <c r="D731" s="17">
        <v>0.87201160661445498</v>
      </c>
      <c r="E731" s="17">
        <v>0.908648852434083</v>
      </c>
      <c r="F731" s="17"/>
      <c r="G731" s="17">
        <v>0.816780431123724</v>
      </c>
      <c r="H731" s="17">
        <v>0.85985267127375498</v>
      </c>
      <c r="I731" s="17">
        <v>0.87109061443728297</v>
      </c>
      <c r="J731" s="17">
        <v>0.88879333679619499</v>
      </c>
      <c r="K731" s="17">
        <v>0.92901163921457397</v>
      </c>
      <c r="L731" s="17">
        <v>0.92436623006104501</v>
      </c>
      <c r="M731" s="17"/>
      <c r="N731" s="17">
        <v>0.92136805852993597</v>
      </c>
      <c r="O731" s="17">
        <v>0.87197129858834099</v>
      </c>
      <c r="P731" s="17">
        <v>0.895089423239944</v>
      </c>
      <c r="Q731" s="17">
        <v>0.84246416310823002</v>
      </c>
      <c r="R731" s="17">
        <v>0.92117546358900504</v>
      </c>
      <c r="S731" s="17">
        <v>0.88300187346286696</v>
      </c>
      <c r="T731" s="17">
        <v>0.91690853112551596</v>
      </c>
      <c r="U731" s="17">
        <v>0.89253704628702002</v>
      </c>
      <c r="V731" s="17">
        <v>0.86297879596179505</v>
      </c>
      <c r="W731" s="17"/>
      <c r="X731" s="17">
        <v>0.89606754726204096</v>
      </c>
      <c r="Y731" s="17">
        <v>0.88742239028466996</v>
      </c>
    </row>
    <row r="732" spans="2:25" x14ac:dyDescent="0.35">
      <c r="C732" s="17"/>
      <c r="D732" s="17"/>
      <c r="E732" s="17"/>
      <c r="F732" s="17"/>
      <c r="G732" s="17"/>
      <c r="H732" s="17"/>
      <c r="I732" s="17"/>
      <c r="J732" s="17"/>
      <c r="K732" s="17"/>
      <c r="L732" s="17"/>
      <c r="M732" s="17"/>
      <c r="N732" s="17"/>
      <c r="O732" s="17"/>
      <c r="P732" s="17"/>
      <c r="Q732" s="17"/>
      <c r="R732" s="17"/>
      <c r="S732" s="17"/>
      <c r="T732" s="17"/>
      <c r="U732" s="17"/>
      <c r="V732" s="17"/>
      <c r="W732" s="17"/>
      <c r="X732" s="17"/>
      <c r="Y732" s="17"/>
    </row>
    <row r="733" spans="2:25" x14ac:dyDescent="0.35">
      <c r="B733" s="6" t="s">
        <v>302</v>
      </c>
      <c r="C733" s="17"/>
      <c r="D733" s="17"/>
      <c r="E733" s="17"/>
      <c r="F733" s="17"/>
      <c r="G733" s="17"/>
      <c r="H733" s="17"/>
      <c r="I733" s="17"/>
      <c r="J733" s="17"/>
      <c r="K733" s="17"/>
      <c r="L733" s="17"/>
      <c r="M733" s="17"/>
      <c r="N733" s="17"/>
      <c r="O733" s="17"/>
      <c r="P733" s="17"/>
      <c r="Q733" s="17"/>
      <c r="R733" s="17"/>
      <c r="S733" s="17"/>
      <c r="T733" s="17"/>
      <c r="U733" s="17"/>
      <c r="V733" s="17"/>
      <c r="W733" s="17"/>
      <c r="X733" s="17"/>
      <c r="Y733" s="17"/>
    </row>
    <row r="734" spans="2:25" x14ac:dyDescent="0.35">
      <c r="B734" s="24" t="s">
        <v>50</v>
      </c>
      <c r="C734" s="17"/>
      <c r="D734" s="17"/>
      <c r="E734" s="17"/>
      <c r="F734" s="17"/>
      <c r="G734" s="17"/>
      <c r="H734" s="17"/>
      <c r="I734" s="17"/>
      <c r="J734" s="17"/>
      <c r="K734" s="17"/>
      <c r="L734" s="17"/>
      <c r="M734" s="17"/>
      <c r="N734" s="17"/>
      <c r="O734" s="17"/>
      <c r="P734" s="17"/>
      <c r="Q734" s="17"/>
      <c r="R734" s="17"/>
      <c r="S734" s="17"/>
      <c r="T734" s="17"/>
      <c r="U734" s="17"/>
      <c r="V734" s="17"/>
      <c r="W734" s="17"/>
      <c r="X734" s="17"/>
      <c r="Y734" s="17"/>
    </row>
    <row r="735" spans="2:25" x14ac:dyDescent="0.35">
      <c r="B735" t="s">
        <v>276</v>
      </c>
      <c r="C735" s="17">
        <v>0.41022940445072298</v>
      </c>
      <c r="D735" s="17">
        <v>0.39462140984565103</v>
      </c>
      <c r="E735" s="17">
        <v>0.42467961391025699</v>
      </c>
      <c r="F735" s="17"/>
      <c r="G735" s="17">
        <v>0.36421666799451002</v>
      </c>
      <c r="H735" s="17">
        <v>0.394093749217446</v>
      </c>
      <c r="I735" s="17">
        <v>0.41005503381778002</v>
      </c>
      <c r="J735" s="17">
        <v>0.41807856864155901</v>
      </c>
      <c r="K735" s="17">
        <v>0.44495685195165602</v>
      </c>
      <c r="L735" s="17">
        <v>0.40879481195333001</v>
      </c>
      <c r="M735" s="17"/>
      <c r="N735" s="17">
        <v>0.48277242373560902</v>
      </c>
      <c r="O735" s="17">
        <v>0.39548716160949599</v>
      </c>
      <c r="P735" s="17">
        <v>0.30364945765034101</v>
      </c>
      <c r="Q735" s="17">
        <v>0.32991120738170299</v>
      </c>
      <c r="R735" s="17">
        <v>0.42726909954880798</v>
      </c>
      <c r="S735" s="17">
        <v>0.418708299203018</v>
      </c>
      <c r="T735" s="17">
        <v>0.38835027994472898</v>
      </c>
      <c r="U735" s="17">
        <v>0.57369756410946804</v>
      </c>
      <c r="V735" s="17">
        <v>0.42684951506154001</v>
      </c>
      <c r="W735" s="17"/>
      <c r="X735" s="17">
        <v>0.43038569245675801</v>
      </c>
      <c r="Y735" s="17">
        <v>0.39907558938177201</v>
      </c>
    </row>
    <row r="736" spans="2:25" x14ac:dyDescent="0.35">
      <c r="B736" t="s">
        <v>277</v>
      </c>
      <c r="C736" s="17">
        <v>0.44116465025165702</v>
      </c>
      <c r="D736" s="17">
        <v>0.44937008030478398</v>
      </c>
      <c r="E736" s="17">
        <v>0.43342686268173097</v>
      </c>
      <c r="F736" s="17"/>
      <c r="G736" s="17">
        <v>0.45123959816763298</v>
      </c>
      <c r="H736" s="17">
        <v>0.45395103642790702</v>
      </c>
      <c r="I736" s="17">
        <v>0.448303563272059</v>
      </c>
      <c r="J736" s="17">
        <v>0.43129820543775199</v>
      </c>
      <c r="K736" s="17">
        <v>0.42238608429596802</v>
      </c>
      <c r="L736" s="17">
        <v>0.44436930906085897</v>
      </c>
      <c r="M736" s="17"/>
      <c r="N736" s="17">
        <v>0.39017330427174901</v>
      </c>
      <c r="O736" s="17">
        <v>0.50477949306326497</v>
      </c>
      <c r="P736" s="17">
        <v>0.52348020694248099</v>
      </c>
      <c r="Q736" s="17">
        <v>0.44820898835341799</v>
      </c>
      <c r="R736" s="17">
        <v>0.47747653379888699</v>
      </c>
      <c r="S736" s="17">
        <v>0.41380908443501901</v>
      </c>
      <c r="T736" s="17">
        <v>0.47507634334115201</v>
      </c>
      <c r="U736" s="17">
        <v>0.31422584422803201</v>
      </c>
      <c r="V736" s="17">
        <v>0.42421029974156199</v>
      </c>
      <c r="W736" s="17"/>
      <c r="X736" s="17">
        <v>0.44118911010775902</v>
      </c>
      <c r="Y736" s="17">
        <v>0.44115111498606202</v>
      </c>
    </row>
    <row r="737" spans="2:25" x14ac:dyDescent="0.35">
      <c r="B737" t="s">
        <v>298</v>
      </c>
      <c r="C737" s="17">
        <v>0.106858467003536</v>
      </c>
      <c r="D737" s="17">
        <v>0.117802428646704</v>
      </c>
      <c r="E737" s="17">
        <v>9.6645122977759998E-2</v>
      </c>
      <c r="F737" s="17"/>
      <c r="G737" s="17">
        <v>0.141924833887317</v>
      </c>
      <c r="H737" s="17">
        <v>0.11821749556518001</v>
      </c>
      <c r="I737" s="17">
        <v>0.104983265620283</v>
      </c>
      <c r="J737" s="17">
        <v>0.102799587889497</v>
      </c>
      <c r="K737" s="17">
        <v>9.51999005681754E-2</v>
      </c>
      <c r="L737" s="17">
        <v>9.8734637191614294E-2</v>
      </c>
      <c r="M737" s="17"/>
      <c r="N737" s="17">
        <v>8.8581595775982999E-2</v>
      </c>
      <c r="O737" s="17">
        <v>6.4055952061713606E-2</v>
      </c>
      <c r="P737" s="17">
        <v>0.125061346345887</v>
      </c>
      <c r="Q737" s="17">
        <v>0.165194818944567</v>
      </c>
      <c r="R737" s="17">
        <v>6.5575713305855599E-2</v>
      </c>
      <c r="S737" s="17">
        <v>0.109897786577748</v>
      </c>
      <c r="T737" s="17">
        <v>9.3302132433021004E-2</v>
      </c>
      <c r="U737" s="17">
        <v>9.5740889161097603E-2</v>
      </c>
      <c r="V737" s="17">
        <v>0.10441367156579</v>
      </c>
      <c r="W737" s="17"/>
      <c r="X737" s="17">
        <v>9.6963063948425396E-2</v>
      </c>
      <c r="Y737" s="17">
        <v>0.112334251814528</v>
      </c>
    </row>
    <row r="738" spans="2:25" x14ac:dyDescent="0.35">
      <c r="B738" t="s">
        <v>279</v>
      </c>
      <c r="C738" s="17">
        <v>9.4554645605859893E-3</v>
      </c>
      <c r="D738" s="17">
        <v>1.1632271213892299E-2</v>
      </c>
      <c r="E738" s="17">
        <v>7.4440526812505504E-3</v>
      </c>
      <c r="F738" s="17"/>
      <c r="G738" s="17">
        <v>1.55944317383472E-2</v>
      </c>
      <c r="H738" s="17">
        <v>1.47690427995883E-2</v>
      </c>
      <c r="I738" s="17">
        <v>1.37859410329559E-2</v>
      </c>
      <c r="J738" s="17">
        <v>7.2665220295287996E-3</v>
      </c>
      <c r="K738" s="17">
        <v>4.0526513074714702E-3</v>
      </c>
      <c r="L738" s="17">
        <v>6.2995617442887404E-3</v>
      </c>
      <c r="M738" s="17"/>
      <c r="N738" s="17">
        <v>5.15564101795404E-3</v>
      </c>
      <c r="O738" s="17">
        <v>6.9140949066664199E-3</v>
      </c>
      <c r="P738" s="17">
        <v>9.1638183499566598E-3</v>
      </c>
      <c r="Q738" s="17">
        <v>2.2762134735326799E-2</v>
      </c>
      <c r="R738" s="17">
        <v>4.9323077168266097E-3</v>
      </c>
      <c r="S738" s="17">
        <v>1.1678638319354E-2</v>
      </c>
      <c r="T738" s="17">
        <v>7.7371691590038798E-3</v>
      </c>
      <c r="U738" s="17">
        <v>3.7053291265420302E-3</v>
      </c>
      <c r="V738" s="17">
        <v>5.0404640219412298E-3</v>
      </c>
      <c r="W738" s="17"/>
      <c r="X738" s="17">
        <v>1.1421263595167E-2</v>
      </c>
      <c r="Y738" s="17">
        <v>8.3676571782011003E-3</v>
      </c>
    </row>
    <row r="739" spans="2:25" x14ac:dyDescent="0.35">
      <c r="B739" t="s">
        <v>280</v>
      </c>
      <c r="C739" s="17">
        <v>5.3374924424152599E-3</v>
      </c>
      <c r="D739" s="17">
        <v>5.3832745963031002E-3</v>
      </c>
      <c r="E739" s="17">
        <v>5.3157505953380698E-3</v>
      </c>
      <c r="F739" s="17"/>
      <c r="G739" s="17">
        <v>1.28387039758786E-2</v>
      </c>
      <c r="H739" s="17">
        <v>3.6691496384773101E-3</v>
      </c>
      <c r="I739" s="17">
        <v>1.68318222371498E-3</v>
      </c>
      <c r="J739" s="17">
        <v>6.9984033247869103E-3</v>
      </c>
      <c r="K739" s="17">
        <v>3.47121996869443E-3</v>
      </c>
      <c r="L739" s="17">
        <v>5.9710771734256601E-3</v>
      </c>
      <c r="M739" s="17"/>
      <c r="N739" s="17">
        <v>4.4419320092141199E-3</v>
      </c>
      <c r="O739" s="17">
        <v>0</v>
      </c>
      <c r="P739" s="17">
        <v>4.8397748553429196E-3</v>
      </c>
      <c r="Q739" s="17">
        <v>7.8270931410444507E-3</v>
      </c>
      <c r="R739" s="17">
        <v>6.1062543162786302E-3</v>
      </c>
      <c r="S739" s="17">
        <v>6.5568097114477404E-3</v>
      </c>
      <c r="T739" s="17">
        <v>3.7004635358307099E-3</v>
      </c>
      <c r="U739" s="17">
        <v>4.3436697409760701E-3</v>
      </c>
      <c r="V739" s="17">
        <v>5.1203265870425098E-3</v>
      </c>
      <c r="W739" s="17"/>
      <c r="X739" s="17">
        <v>3.6552584437810199E-3</v>
      </c>
      <c r="Y739" s="17">
        <v>6.2683844259913803E-3</v>
      </c>
    </row>
    <row r="740" spans="2:25" x14ac:dyDescent="0.35">
      <c r="B740" t="s">
        <v>224</v>
      </c>
      <c r="C740" s="17">
        <v>2.6954521291082601E-2</v>
      </c>
      <c r="D740" s="17">
        <v>2.1190535392665098E-2</v>
      </c>
      <c r="E740" s="17">
        <v>3.2488597153662799E-2</v>
      </c>
      <c r="F740" s="17"/>
      <c r="G740" s="17">
        <v>1.4185764236314E-2</v>
      </c>
      <c r="H740" s="17">
        <v>1.5299526351401801E-2</v>
      </c>
      <c r="I740" s="17">
        <v>2.1189014033206801E-2</v>
      </c>
      <c r="J740" s="17">
        <v>3.3558712676876497E-2</v>
      </c>
      <c r="K740" s="17">
        <v>2.9933291908034801E-2</v>
      </c>
      <c r="L740" s="17">
        <v>3.58306028764823E-2</v>
      </c>
      <c r="M740" s="17"/>
      <c r="N740" s="17">
        <v>2.8875103189490801E-2</v>
      </c>
      <c r="O740" s="17">
        <v>2.87632983588594E-2</v>
      </c>
      <c r="P740" s="17">
        <v>3.3805395855991301E-2</v>
      </c>
      <c r="Q740" s="17">
        <v>2.6095757443940399E-2</v>
      </c>
      <c r="R740" s="17">
        <v>1.86400913133439E-2</v>
      </c>
      <c r="S740" s="17">
        <v>3.9349381753413001E-2</v>
      </c>
      <c r="T740" s="17">
        <v>3.1833611586263598E-2</v>
      </c>
      <c r="U740" s="17">
        <v>8.2867036338838407E-3</v>
      </c>
      <c r="V740" s="17">
        <v>3.4365723022124199E-2</v>
      </c>
      <c r="W740" s="17"/>
      <c r="X740" s="17">
        <v>1.63856114481092E-2</v>
      </c>
      <c r="Y740" s="17">
        <v>3.2803002213445599E-2</v>
      </c>
    </row>
    <row r="741" spans="2:25" x14ac:dyDescent="0.35">
      <c r="B741" t="s">
        <v>281</v>
      </c>
      <c r="C741" s="17">
        <v>0.85139405470238005</v>
      </c>
      <c r="D741" s="17">
        <v>0.84399149015043495</v>
      </c>
      <c r="E741" s="17">
        <v>0.85810647659198902</v>
      </c>
      <c r="F741" s="17"/>
      <c r="G741" s="17">
        <v>0.81545626616214395</v>
      </c>
      <c r="H741" s="17">
        <v>0.84804478564535302</v>
      </c>
      <c r="I741" s="17">
        <v>0.85835859708983897</v>
      </c>
      <c r="J741" s="17">
        <v>0.84937677407931</v>
      </c>
      <c r="K741" s="17">
        <v>0.86734293624762404</v>
      </c>
      <c r="L741" s="17">
        <v>0.85316412101418904</v>
      </c>
      <c r="M741" s="17"/>
      <c r="N741" s="17">
        <v>0.87294572800735803</v>
      </c>
      <c r="O741" s="17">
        <v>0.90026665467276001</v>
      </c>
      <c r="P741" s="17">
        <v>0.827129664592822</v>
      </c>
      <c r="Q741" s="17">
        <v>0.77812019573512103</v>
      </c>
      <c r="R741" s="17">
        <v>0.90474563334769498</v>
      </c>
      <c r="S741" s="17">
        <v>0.83251738363803696</v>
      </c>
      <c r="T741" s="17">
        <v>0.86342662328588105</v>
      </c>
      <c r="U741" s="17">
        <v>0.88792340833750005</v>
      </c>
      <c r="V741" s="17">
        <v>0.851059814803102</v>
      </c>
      <c r="W741" s="17"/>
      <c r="X741" s="17">
        <v>0.87157480256451703</v>
      </c>
      <c r="Y741" s="17">
        <v>0.84022670436783398</v>
      </c>
    </row>
    <row r="742" spans="2:25" x14ac:dyDescent="0.35">
      <c r="B742" t="s">
        <v>282</v>
      </c>
      <c r="C742" s="17">
        <v>1.47929570030013E-2</v>
      </c>
      <c r="D742" s="17">
        <v>1.70155458101954E-2</v>
      </c>
      <c r="E742" s="17">
        <v>1.2759803276588599E-2</v>
      </c>
      <c r="F742" s="17"/>
      <c r="G742" s="17">
        <v>2.8433135714225798E-2</v>
      </c>
      <c r="H742" s="17">
        <v>1.8438192438065701E-2</v>
      </c>
      <c r="I742" s="17">
        <v>1.5469123256670899E-2</v>
      </c>
      <c r="J742" s="17">
        <v>1.42649253543157E-2</v>
      </c>
      <c r="K742" s="17">
        <v>7.5238712761659101E-3</v>
      </c>
      <c r="L742" s="17">
        <v>1.22706389177144E-2</v>
      </c>
      <c r="M742" s="17"/>
      <c r="N742" s="17">
        <v>9.59757302716816E-3</v>
      </c>
      <c r="O742" s="17">
        <v>6.9140949066664199E-3</v>
      </c>
      <c r="P742" s="17">
        <v>1.40035932052996E-2</v>
      </c>
      <c r="Q742" s="17">
        <v>3.0589227876371201E-2</v>
      </c>
      <c r="R742" s="17">
        <v>1.1038562033105199E-2</v>
      </c>
      <c r="S742" s="17">
        <v>1.8235448030801699E-2</v>
      </c>
      <c r="T742" s="17">
        <v>1.1437632694834599E-2</v>
      </c>
      <c r="U742" s="17">
        <v>8.0489988675181007E-3</v>
      </c>
      <c r="V742" s="17">
        <v>1.01607906089837E-2</v>
      </c>
      <c r="W742" s="17"/>
      <c r="X742" s="17">
        <v>1.50765220389481E-2</v>
      </c>
      <c r="Y742" s="17">
        <v>1.4636041604192501E-2</v>
      </c>
    </row>
    <row r="743" spans="2:25" x14ac:dyDescent="0.35">
      <c r="B743" t="s">
        <v>92</v>
      </c>
      <c r="C743" s="17">
        <v>0.83660109769937896</v>
      </c>
      <c r="D743" s="17">
        <v>0.82697594434024002</v>
      </c>
      <c r="E743" s="17">
        <v>0.84534667331540003</v>
      </c>
      <c r="F743" s="17"/>
      <c r="G743" s="17">
        <v>0.78702313044791805</v>
      </c>
      <c r="H743" s="17">
        <v>0.82960659320728702</v>
      </c>
      <c r="I743" s="17">
        <v>0.84288947383316803</v>
      </c>
      <c r="J743" s="17">
        <v>0.835111848724995</v>
      </c>
      <c r="K743" s="17">
        <v>0.85981906497145799</v>
      </c>
      <c r="L743" s="17">
        <v>0.84089348209647496</v>
      </c>
      <c r="M743" s="17"/>
      <c r="N743" s="17">
        <v>0.86334815498019002</v>
      </c>
      <c r="O743" s="17">
        <v>0.89335255976609396</v>
      </c>
      <c r="P743" s="17">
        <v>0.81312607138752202</v>
      </c>
      <c r="Q743" s="17">
        <v>0.74753096785874995</v>
      </c>
      <c r="R743" s="17">
        <v>0.89370707131459004</v>
      </c>
      <c r="S743" s="17">
        <v>0.81428193560723605</v>
      </c>
      <c r="T743" s="17">
        <v>0.85198899059104605</v>
      </c>
      <c r="U743" s="17">
        <v>0.87987440946998197</v>
      </c>
      <c r="V743" s="17">
        <v>0.84089902419411799</v>
      </c>
      <c r="W743" s="17"/>
      <c r="X743" s="17">
        <v>0.85649828052556898</v>
      </c>
      <c r="Y743" s="17">
        <v>0.82559066276364101</v>
      </c>
    </row>
    <row r="744" spans="2:25" x14ac:dyDescent="0.35">
      <c r="C744" s="17"/>
      <c r="D744" s="17"/>
      <c r="E744" s="17"/>
      <c r="F744" s="17"/>
      <c r="G744" s="17"/>
      <c r="H744" s="17"/>
      <c r="I744" s="17"/>
      <c r="J744" s="17"/>
      <c r="K744" s="17"/>
      <c r="L744" s="17"/>
      <c r="M744" s="17"/>
      <c r="N744" s="17"/>
      <c r="O744" s="17"/>
      <c r="P744" s="17"/>
      <c r="Q744" s="17"/>
      <c r="R744" s="17"/>
      <c r="S744" s="17"/>
      <c r="T744" s="17"/>
      <c r="U744" s="17"/>
      <c r="V744" s="17"/>
      <c r="W744" s="17"/>
      <c r="X744" s="17"/>
      <c r="Y744" s="17"/>
    </row>
    <row r="745" spans="2:25" x14ac:dyDescent="0.35">
      <c r="B745" s="6" t="s">
        <v>303</v>
      </c>
      <c r="C745" s="17"/>
      <c r="D745" s="17"/>
      <c r="E745" s="17"/>
      <c r="F745" s="17"/>
      <c r="G745" s="17"/>
      <c r="H745" s="17"/>
      <c r="I745" s="17"/>
      <c r="J745" s="17"/>
      <c r="K745" s="17"/>
      <c r="L745" s="17"/>
      <c r="M745" s="17"/>
      <c r="N745" s="17"/>
      <c r="O745" s="17"/>
      <c r="P745" s="17"/>
      <c r="Q745" s="17"/>
      <c r="R745" s="17"/>
      <c r="S745" s="17"/>
      <c r="T745" s="17"/>
      <c r="U745" s="17"/>
      <c r="V745" s="17"/>
      <c r="W745" s="17"/>
      <c r="X745" s="17"/>
      <c r="Y745" s="17"/>
    </row>
    <row r="746" spans="2:25" x14ac:dyDescent="0.35">
      <c r="B746" s="24" t="s">
        <v>50</v>
      </c>
      <c r="C746" s="17"/>
      <c r="D746" s="17"/>
      <c r="E746" s="17"/>
      <c r="F746" s="17"/>
      <c r="G746" s="17"/>
      <c r="H746" s="17"/>
      <c r="I746" s="17"/>
      <c r="J746" s="17"/>
      <c r="K746" s="17"/>
      <c r="L746" s="17"/>
      <c r="M746" s="17"/>
      <c r="N746" s="17"/>
      <c r="O746" s="17"/>
      <c r="P746" s="17"/>
      <c r="Q746" s="17"/>
      <c r="R746" s="17"/>
      <c r="S746" s="17"/>
      <c r="T746" s="17"/>
      <c r="U746" s="17"/>
      <c r="V746" s="17"/>
      <c r="W746" s="17"/>
      <c r="X746" s="17"/>
      <c r="Y746" s="17"/>
    </row>
    <row r="747" spans="2:25" x14ac:dyDescent="0.35">
      <c r="B747" t="s">
        <v>276</v>
      </c>
      <c r="C747" s="17">
        <v>0.62558896906318096</v>
      </c>
      <c r="D747" s="17">
        <v>0.58941106071912497</v>
      </c>
      <c r="E747" s="17">
        <v>0.65935357032571795</v>
      </c>
      <c r="F747" s="17"/>
      <c r="G747" s="17">
        <v>0.457319681211526</v>
      </c>
      <c r="H747" s="17">
        <v>0.50953883313519999</v>
      </c>
      <c r="I747" s="17">
        <v>0.59800869822325198</v>
      </c>
      <c r="J747" s="17">
        <v>0.63347110582633503</v>
      </c>
      <c r="K747" s="17">
        <v>0.68403528579433903</v>
      </c>
      <c r="L747" s="17">
        <v>0.73074446357518597</v>
      </c>
      <c r="M747" s="17"/>
      <c r="N747" s="17">
        <v>0.60789411511117997</v>
      </c>
      <c r="O747" s="17">
        <v>0.66578027567845399</v>
      </c>
      <c r="P747" s="17">
        <v>0.55905185295170801</v>
      </c>
      <c r="Q747" s="17">
        <v>0.56149511862924095</v>
      </c>
      <c r="R747" s="17">
        <v>0.66005801371906403</v>
      </c>
      <c r="S747" s="17">
        <v>0.61455596064218398</v>
      </c>
      <c r="T747" s="17">
        <v>0.67917247537268999</v>
      </c>
      <c r="U747" s="17">
        <v>0.725925303151429</v>
      </c>
      <c r="V747" s="17">
        <v>0.49708254669128299</v>
      </c>
      <c r="W747" s="17"/>
      <c r="X747" s="17">
        <v>0.615813940116131</v>
      </c>
      <c r="Y747" s="17">
        <v>0.63099814287218803</v>
      </c>
    </row>
    <row r="748" spans="2:25" x14ac:dyDescent="0.35">
      <c r="B748" t="s">
        <v>277</v>
      </c>
      <c r="C748" s="17">
        <v>0.27403528363016999</v>
      </c>
      <c r="D748" s="17">
        <v>0.30332919415578602</v>
      </c>
      <c r="E748" s="17">
        <v>0.24667418850611</v>
      </c>
      <c r="F748" s="17"/>
      <c r="G748" s="17">
        <v>0.36848582849150002</v>
      </c>
      <c r="H748" s="17">
        <v>0.34616366203589999</v>
      </c>
      <c r="I748" s="17">
        <v>0.29582718394657898</v>
      </c>
      <c r="J748" s="17">
        <v>0.26593236123641401</v>
      </c>
      <c r="K748" s="17">
        <v>0.25238810029943698</v>
      </c>
      <c r="L748" s="17">
        <v>0.20199415036985499</v>
      </c>
      <c r="M748" s="17"/>
      <c r="N748" s="17">
        <v>0.33123009106958501</v>
      </c>
      <c r="O748" s="17">
        <v>0.29386254146958501</v>
      </c>
      <c r="P748" s="17">
        <v>0.34835596405619101</v>
      </c>
      <c r="Q748" s="17">
        <v>0.305346943115956</v>
      </c>
      <c r="R748" s="17">
        <v>0.26149916492829001</v>
      </c>
      <c r="S748" s="17">
        <v>0.26107564379245701</v>
      </c>
      <c r="T748" s="17">
        <v>0.26395052678660802</v>
      </c>
      <c r="U748" s="17">
        <v>0.17342872623950201</v>
      </c>
      <c r="V748" s="17">
        <v>0.31215078175982303</v>
      </c>
      <c r="W748" s="17"/>
      <c r="X748" s="17">
        <v>0.28983783290475501</v>
      </c>
      <c r="Y748" s="17">
        <v>0.26529068183771898</v>
      </c>
    </row>
    <row r="749" spans="2:25" x14ac:dyDescent="0.35">
      <c r="B749" t="s">
        <v>298</v>
      </c>
      <c r="C749" s="17">
        <v>6.7796207877018705E-2</v>
      </c>
      <c r="D749" s="17">
        <v>7.5158275733741106E-2</v>
      </c>
      <c r="E749" s="17">
        <v>6.0812282200055003E-2</v>
      </c>
      <c r="F749" s="17"/>
      <c r="G749" s="17">
        <v>0.12496111057718499</v>
      </c>
      <c r="H749" s="17">
        <v>0.107618406579225</v>
      </c>
      <c r="I749" s="17">
        <v>7.4774529413030005E-2</v>
      </c>
      <c r="J749" s="17">
        <v>6.0927355475811601E-2</v>
      </c>
      <c r="K749" s="17">
        <v>3.9120157759272599E-2</v>
      </c>
      <c r="L749" s="17">
        <v>4.2041024663960501E-2</v>
      </c>
      <c r="M749" s="17"/>
      <c r="N749" s="17">
        <v>3.6179379837077502E-2</v>
      </c>
      <c r="O749" s="17">
        <v>7.9092271273447194E-3</v>
      </c>
      <c r="P749" s="17">
        <v>6.2741881039344805E-2</v>
      </c>
      <c r="Q749" s="17">
        <v>9.8663468899595694E-2</v>
      </c>
      <c r="R749" s="17">
        <v>5.1191458602235701E-2</v>
      </c>
      <c r="S749" s="17">
        <v>7.9830699541044603E-2</v>
      </c>
      <c r="T749" s="17">
        <v>3.97627347254653E-2</v>
      </c>
      <c r="U749" s="17">
        <v>6.8502112824144701E-2</v>
      </c>
      <c r="V749" s="17">
        <v>0.129046005945151</v>
      </c>
      <c r="W749" s="17"/>
      <c r="X749" s="17">
        <v>6.8380610461380401E-2</v>
      </c>
      <c r="Y749" s="17">
        <v>6.7472819049183105E-2</v>
      </c>
    </row>
    <row r="750" spans="2:25" x14ac:dyDescent="0.35">
      <c r="B750" t="s">
        <v>279</v>
      </c>
      <c r="C750" s="17">
        <v>1.2875295379255299E-2</v>
      </c>
      <c r="D750" s="17">
        <v>1.4694726576531401E-2</v>
      </c>
      <c r="E750" s="17">
        <v>1.12140011145332E-2</v>
      </c>
      <c r="F750" s="17"/>
      <c r="G750" s="17">
        <v>2.4312776100170901E-2</v>
      </c>
      <c r="H750" s="17">
        <v>2.5077590142956699E-2</v>
      </c>
      <c r="I750" s="17">
        <v>1.4509883655783099E-2</v>
      </c>
      <c r="J750" s="17">
        <v>9.97259606930994E-3</v>
      </c>
      <c r="K750" s="17">
        <v>5.23700449026656E-3</v>
      </c>
      <c r="L750" s="17">
        <v>7.35801568906835E-3</v>
      </c>
      <c r="M750" s="17"/>
      <c r="N750" s="17">
        <v>4.4419320092141199E-3</v>
      </c>
      <c r="O750" s="17">
        <v>3.5130108547229699E-3</v>
      </c>
      <c r="P750" s="17">
        <v>1.41367246998778E-2</v>
      </c>
      <c r="Q750" s="17">
        <v>1.7938753890705601E-2</v>
      </c>
      <c r="R750" s="17">
        <v>1.2608255237482499E-2</v>
      </c>
      <c r="S750" s="17">
        <v>1.23241890392396E-2</v>
      </c>
      <c r="T750" s="17">
        <v>4.8140950097718301E-3</v>
      </c>
      <c r="U750" s="17">
        <v>1.6761741128985E-2</v>
      </c>
      <c r="V750" s="17">
        <v>1.8597823224389302E-2</v>
      </c>
      <c r="W750" s="17"/>
      <c r="X750" s="17">
        <v>1.44289033735744E-2</v>
      </c>
      <c r="Y750" s="17">
        <v>1.20155807208275E-2</v>
      </c>
    </row>
    <row r="751" spans="2:25" x14ac:dyDescent="0.35">
      <c r="B751" t="s">
        <v>280</v>
      </c>
      <c r="C751" s="17">
        <v>3.4985197091721601E-3</v>
      </c>
      <c r="D751" s="17">
        <v>2.4637144079826699E-3</v>
      </c>
      <c r="E751" s="17">
        <v>4.4866850492112902E-3</v>
      </c>
      <c r="F751" s="17"/>
      <c r="G751" s="17">
        <v>9.7343403906643405E-3</v>
      </c>
      <c r="H751" s="17">
        <v>0</v>
      </c>
      <c r="I751" s="17">
        <v>2.3057323692238199E-3</v>
      </c>
      <c r="J751" s="17">
        <v>6.7448775328982002E-3</v>
      </c>
      <c r="K751" s="17">
        <v>5.8925933875780096E-4</v>
      </c>
      <c r="L751" s="17">
        <v>3.7106036485824098E-3</v>
      </c>
      <c r="M751" s="17"/>
      <c r="N751" s="17">
        <v>0</v>
      </c>
      <c r="O751" s="17">
        <v>5.9930620249658197E-3</v>
      </c>
      <c r="P751" s="17">
        <v>1.1108030059091001E-3</v>
      </c>
      <c r="Q751" s="17">
        <v>5.0436162305312997E-3</v>
      </c>
      <c r="R751" s="17">
        <v>4.9082015394709202E-3</v>
      </c>
      <c r="S751" s="17">
        <v>4.5551040948928799E-3</v>
      </c>
      <c r="T751" s="17">
        <v>1.8836958057828299E-3</v>
      </c>
      <c r="U751" s="17">
        <v>4.3319480681202598E-3</v>
      </c>
      <c r="V751" s="17">
        <v>1.97552042856347E-3</v>
      </c>
      <c r="W751" s="17"/>
      <c r="X751" s="17">
        <v>2.56032710183597E-3</v>
      </c>
      <c r="Y751" s="17">
        <v>4.0176840929194296E-3</v>
      </c>
    </row>
    <row r="752" spans="2:25" x14ac:dyDescent="0.35">
      <c r="B752" t="s">
        <v>224</v>
      </c>
      <c r="C752" s="17">
        <v>1.62057243412034E-2</v>
      </c>
      <c r="D752" s="17">
        <v>1.4943028406833401E-2</v>
      </c>
      <c r="E752" s="17">
        <v>1.7459272804372299E-2</v>
      </c>
      <c r="F752" s="17"/>
      <c r="G752" s="17">
        <v>1.51862632289537E-2</v>
      </c>
      <c r="H752" s="17">
        <v>1.1601508106717199E-2</v>
      </c>
      <c r="I752" s="17">
        <v>1.4573972392131899E-2</v>
      </c>
      <c r="J752" s="17">
        <v>2.2951703859231301E-2</v>
      </c>
      <c r="K752" s="17">
        <v>1.8630192317927102E-2</v>
      </c>
      <c r="L752" s="17">
        <v>1.4151742053348E-2</v>
      </c>
      <c r="M752" s="17"/>
      <c r="N752" s="17">
        <v>2.0254481972943598E-2</v>
      </c>
      <c r="O752" s="17">
        <v>2.29418828449276E-2</v>
      </c>
      <c r="P752" s="17">
        <v>1.4602774246969E-2</v>
      </c>
      <c r="Q752" s="17">
        <v>1.1512099233970599E-2</v>
      </c>
      <c r="R752" s="17">
        <v>9.7349059734569299E-3</v>
      </c>
      <c r="S752" s="17">
        <v>2.76584028901815E-2</v>
      </c>
      <c r="T752" s="17">
        <v>1.04164722996824E-2</v>
      </c>
      <c r="U752" s="17">
        <v>1.10501685878192E-2</v>
      </c>
      <c r="V752" s="17">
        <v>4.1147321950789899E-2</v>
      </c>
      <c r="W752" s="17"/>
      <c r="X752" s="17">
        <v>8.9783860423234205E-3</v>
      </c>
      <c r="Y752" s="17">
        <v>2.0205091427163101E-2</v>
      </c>
    </row>
    <row r="753" spans="2:25" x14ac:dyDescent="0.35">
      <c r="B753" t="s">
        <v>281</v>
      </c>
      <c r="C753" s="17">
        <v>0.89962425269335</v>
      </c>
      <c r="D753" s="17">
        <v>0.89274025487491104</v>
      </c>
      <c r="E753" s="17">
        <v>0.90602775883182796</v>
      </c>
      <c r="F753" s="17"/>
      <c r="G753" s="17">
        <v>0.82580550970302602</v>
      </c>
      <c r="H753" s="17">
        <v>0.85570249517110097</v>
      </c>
      <c r="I753" s="17">
        <v>0.89383588216983101</v>
      </c>
      <c r="J753" s="17">
        <v>0.89940346706274898</v>
      </c>
      <c r="K753" s="17">
        <v>0.93642338609377596</v>
      </c>
      <c r="L753" s="17">
        <v>0.93273861394504098</v>
      </c>
      <c r="M753" s="17"/>
      <c r="N753" s="17">
        <v>0.93912420618076498</v>
      </c>
      <c r="O753" s="17">
        <v>0.95964281714803901</v>
      </c>
      <c r="P753" s="17">
        <v>0.90740781700789896</v>
      </c>
      <c r="Q753" s="17">
        <v>0.86684206174519696</v>
      </c>
      <c r="R753" s="17">
        <v>0.92155717864735398</v>
      </c>
      <c r="S753" s="17">
        <v>0.87563160443464105</v>
      </c>
      <c r="T753" s="17">
        <v>0.94312300215929801</v>
      </c>
      <c r="U753" s="17">
        <v>0.89935402939093101</v>
      </c>
      <c r="V753" s="17">
        <v>0.80923332845110596</v>
      </c>
      <c r="W753" s="17"/>
      <c r="X753" s="17">
        <v>0.90565177302088595</v>
      </c>
      <c r="Y753" s="17">
        <v>0.89628882470990701</v>
      </c>
    </row>
    <row r="754" spans="2:25" x14ac:dyDescent="0.35">
      <c r="B754" t="s">
        <v>282</v>
      </c>
      <c r="C754" s="17">
        <v>1.6373815088427501E-2</v>
      </c>
      <c r="D754" s="17">
        <v>1.7158440984514099E-2</v>
      </c>
      <c r="E754" s="17">
        <v>1.5700686163744499E-2</v>
      </c>
      <c r="F754" s="17"/>
      <c r="G754" s="17">
        <v>3.4047116490835298E-2</v>
      </c>
      <c r="H754" s="17">
        <v>2.5077590142956699E-2</v>
      </c>
      <c r="I754" s="17">
        <v>1.6815616025006901E-2</v>
      </c>
      <c r="J754" s="17">
        <v>1.6717473602208099E-2</v>
      </c>
      <c r="K754" s="17">
        <v>5.8262638290243699E-3</v>
      </c>
      <c r="L754" s="17">
        <v>1.10686193376508E-2</v>
      </c>
      <c r="M754" s="17"/>
      <c r="N754" s="17">
        <v>4.4419320092141199E-3</v>
      </c>
      <c r="O754" s="17">
        <v>9.5060728796887792E-3</v>
      </c>
      <c r="P754" s="17">
        <v>1.52475277057869E-2</v>
      </c>
      <c r="Q754" s="17">
        <v>2.2982370121236901E-2</v>
      </c>
      <c r="R754" s="17">
        <v>1.7516456776953401E-2</v>
      </c>
      <c r="S754" s="17">
        <v>1.68792931341325E-2</v>
      </c>
      <c r="T754" s="17">
        <v>6.6977908155546701E-3</v>
      </c>
      <c r="U754" s="17">
        <v>2.1093689197105199E-2</v>
      </c>
      <c r="V754" s="17">
        <v>2.05733436529528E-2</v>
      </c>
      <c r="W754" s="17"/>
      <c r="X754" s="17">
        <v>1.6989230475410299E-2</v>
      </c>
      <c r="Y754" s="17">
        <v>1.6033264813746999E-2</v>
      </c>
    </row>
    <row r="755" spans="2:25" x14ac:dyDescent="0.35">
      <c r="B755" t="s">
        <v>92</v>
      </c>
      <c r="C755" s="17">
        <v>0.88325043760492306</v>
      </c>
      <c r="D755" s="17">
        <v>0.87558181389039702</v>
      </c>
      <c r="E755" s="17">
        <v>0.89032707266808397</v>
      </c>
      <c r="F755" s="17"/>
      <c r="G755" s="17">
        <v>0.79175839321219099</v>
      </c>
      <c r="H755" s="17">
        <v>0.83062490502814401</v>
      </c>
      <c r="I755" s="17">
        <v>0.87702026614482398</v>
      </c>
      <c r="J755" s="17">
        <v>0.882685993460541</v>
      </c>
      <c r="K755" s="17">
        <v>0.930597122264751</v>
      </c>
      <c r="L755" s="17">
        <v>0.92166999460738996</v>
      </c>
      <c r="M755" s="17"/>
      <c r="N755" s="17">
        <v>0.93468227417155003</v>
      </c>
      <c r="O755" s="17">
        <v>0.95013674426835004</v>
      </c>
      <c r="P755" s="17">
        <v>0.892160289302112</v>
      </c>
      <c r="Q755" s="17">
        <v>0.84385969162396002</v>
      </c>
      <c r="R755" s="17">
        <v>0.90404072187040097</v>
      </c>
      <c r="S755" s="17">
        <v>0.858752311300509</v>
      </c>
      <c r="T755" s="17">
        <v>0.93642521134374301</v>
      </c>
      <c r="U755" s="17">
        <v>0.87826034019382604</v>
      </c>
      <c r="V755" s="17">
        <v>0.78865998479815302</v>
      </c>
      <c r="W755" s="17"/>
      <c r="X755" s="17">
        <v>0.88866254254547505</v>
      </c>
      <c r="Y755" s="17">
        <v>0.88025555989616</v>
      </c>
    </row>
    <row r="756" spans="2:25" x14ac:dyDescent="0.35">
      <c r="C756" s="17"/>
      <c r="D756" s="17"/>
      <c r="E756" s="17"/>
      <c r="F756" s="17"/>
      <c r="G756" s="17"/>
      <c r="H756" s="17"/>
      <c r="I756" s="17"/>
      <c r="J756" s="17"/>
      <c r="K756" s="17"/>
      <c r="L756" s="17"/>
      <c r="M756" s="17"/>
      <c r="N756" s="17"/>
      <c r="O756" s="17"/>
      <c r="P756" s="17"/>
      <c r="Q756" s="17"/>
      <c r="R756" s="17"/>
      <c r="S756" s="17"/>
      <c r="T756" s="17"/>
      <c r="U756" s="17"/>
      <c r="V756" s="17"/>
      <c r="W756" s="17"/>
      <c r="X756" s="17"/>
      <c r="Y756" s="17"/>
    </row>
    <row r="757" spans="2:25" x14ac:dyDescent="0.35">
      <c r="B757" s="6" t="s">
        <v>304</v>
      </c>
      <c r="C757" s="17"/>
      <c r="D757" s="17"/>
      <c r="E757" s="17"/>
      <c r="F757" s="17"/>
      <c r="G757" s="17"/>
      <c r="H757" s="17"/>
      <c r="I757" s="17"/>
      <c r="J757" s="17"/>
      <c r="K757" s="17"/>
      <c r="L757" s="17"/>
      <c r="M757" s="17"/>
      <c r="N757" s="17"/>
      <c r="O757" s="17"/>
      <c r="P757" s="17"/>
      <c r="Q757" s="17"/>
      <c r="R757" s="17"/>
      <c r="S757" s="17"/>
      <c r="T757" s="17"/>
      <c r="U757" s="17"/>
      <c r="V757" s="17"/>
      <c r="W757" s="17"/>
      <c r="X757" s="17"/>
      <c r="Y757" s="17"/>
    </row>
    <row r="758" spans="2:25" x14ac:dyDescent="0.35">
      <c r="B758" s="24" t="s">
        <v>50</v>
      </c>
      <c r="C758" s="17"/>
      <c r="D758" s="17"/>
      <c r="E758" s="17"/>
      <c r="F758" s="17"/>
      <c r="G758" s="17"/>
      <c r="H758" s="17"/>
      <c r="I758" s="17"/>
      <c r="J758" s="17"/>
      <c r="K758" s="17"/>
      <c r="L758" s="17"/>
      <c r="M758" s="17"/>
      <c r="N758" s="17"/>
      <c r="O758" s="17"/>
      <c r="P758" s="17"/>
      <c r="Q758" s="17"/>
      <c r="R758" s="17"/>
      <c r="S758" s="17"/>
      <c r="T758" s="17"/>
      <c r="U758" s="17"/>
      <c r="V758" s="17"/>
      <c r="W758" s="17"/>
      <c r="X758" s="17"/>
      <c r="Y758" s="17"/>
    </row>
    <row r="759" spans="2:25" x14ac:dyDescent="0.35">
      <c r="B759" t="s">
        <v>276</v>
      </c>
      <c r="C759" s="17">
        <v>0.20605461219367899</v>
      </c>
      <c r="D759" s="17">
        <v>0.18669796965511701</v>
      </c>
      <c r="E759" s="17">
        <v>0.22375431195190201</v>
      </c>
      <c r="F759" s="17"/>
      <c r="G759" s="17">
        <v>0.17894607453761999</v>
      </c>
      <c r="H759" s="17">
        <v>0.18630123089086401</v>
      </c>
      <c r="I759" s="17">
        <v>0.20976662321627201</v>
      </c>
      <c r="J759" s="17">
        <v>0.20593970074844201</v>
      </c>
      <c r="K759" s="17">
        <v>0.21834471802285499</v>
      </c>
      <c r="L759" s="17">
        <v>0.217444530264957</v>
      </c>
      <c r="M759" s="17"/>
      <c r="N759" s="17">
        <v>0.14038145680780401</v>
      </c>
      <c r="O759" s="17">
        <v>0.18176898506556999</v>
      </c>
      <c r="P759" s="17">
        <v>0.21479461281845999</v>
      </c>
      <c r="Q759" s="17">
        <v>0.14658356390567201</v>
      </c>
      <c r="R759" s="17">
        <v>0.21732256771146499</v>
      </c>
      <c r="S759" s="17">
        <v>0.17278911828438401</v>
      </c>
      <c r="T759" s="17">
        <v>0.18355469078597</v>
      </c>
      <c r="U759" s="17">
        <v>0.34503582681397099</v>
      </c>
      <c r="V759" s="17">
        <v>0.142014135043742</v>
      </c>
      <c r="W759" s="17"/>
      <c r="X759" s="17">
        <v>0.226562343250266</v>
      </c>
      <c r="Y759" s="17">
        <v>0.19470632030479201</v>
      </c>
    </row>
    <row r="760" spans="2:25" x14ac:dyDescent="0.35">
      <c r="B760" t="s">
        <v>277</v>
      </c>
      <c r="C760" s="17">
        <v>0.31790262092725302</v>
      </c>
      <c r="D760" s="17">
        <v>0.30527497992215302</v>
      </c>
      <c r="E760" s="17">
        <v>0.33024894182598102</v>
      </c>
      <c r="F760" s="17"/>
      <c r="G760" s="17">
        <v>0.31000886426185498</v>
      </c>
      <c r="H760" s="17">
        <v>0.336647721944278</v>
      </c>
      <c r="I760" s="17">
        <v>0.33616032811938701</v>
      </c>
      <c r="J760" s="17">
        <v>0.31228538051487198</v>
      </c>
      <c r="K760" s="17">
        <v>0.296714167073102</v>
      </c>
      <c r="L760" s="17">
        <v>0.31581716967346701</v>
      </c>
      <c r="M760" s="17"/>
      <c r="N760" s="17">
        <v>0.27803930967666501</v>
      </c>
      <c r="O760" s="17">
        <v>0.27258335806575501</v>
      </c>
      <c r="P760" s="17">
        <v>0.37375221208057002</v>
      </c>
      <c r="Q760" s="17">
        <v>0.3248170202506</v>
      </c>
      <c r="R760" s="17">
        <v>0.310861867948725</v>
      </c>
      <c r="S760" s="17">
        <v>0.27730258428986898</v>
      </c>
      <c r="T760" s="17">
        <v>0.336020975006391</v>
      </c>
      <c r="U760" s="17">
        <v>0.322547224988528</v>
      </c>
      <c r="V760" s="17">
        <v>0.267255964156356</v>
      </c>
      <c r="W760" s="17"/>
      <c r="X760" s="17">
        <v>0.34445904924285398</v>
      </c>
      <c r="Y760" s="17">
        <v>0.30320718244992101</v>
      </c>
    </row>
    <row r="761" spans="2:25" x14ac:dyDescent="0.35">
      <c r="B761" t="s">
        <v>298</v>
      </c>
      <c r="C761" s="17">
        <v>0.255746340424503</v>
      </c>
      <c r="D761" s="17">
        <v>0.27164510516262802</v>
      </c>
      <c r="E761" s="17">
        <v>0.24113975226396001</v>
      </c>
      <c r="F761" s="17"/>
      <c r="G761" s="17">
        <v>0.31359415221300702</v>
      </c>
      <c r="H761" s="17">
        <v>0.259847504282472</v>
      </c>
      <c r="I761" s="17">
        <v>0.252484815064693</v>
      </c>
      <c r="J761" s="17">
        <v>0.24421164815573701</v>
      </c>
      <c r="K761" s="17">
        <v>0.26007229044411301</v>
      </c>
      <c r="L761" s="17">
        <v>0.23891754872544699</v>
      </c>
      <c r="M761" s="17"/>
      <c r="N761" s="17">
        <v>0.29749954150383101</v>
      </c>
      <c r="O761" s="17">
        <v>0.26047033884752402</v>
      </c>
      <c r="P761" s="17">
        <v>0.24867292366369101</v>
      </c>
      <c r="Q761" s="17">
        <v>0.28663260403282298</v>
      </c>
      <c r="R761" s="17">
        <v>0.24519195125417201</v>
      </c>
      <c r="S761" s="17">
        <v>0.27754976922890601</v>
      </c>
      <c r="T761" s="17">
        <v>0.24523484994596501</v>
      </c>
      <c r="U761" s="17">
        <v>0.214514474419051</v>
      </c>
      <c r="V761" s="17">
        <v>0.27384323009262501</v>
      </c>
      <c r="W761" s="17"/>
      <c r="X761" s="17">
        <v>0.232516061185921</v>
      </c>
      <c r="Y761" s="17">
        <v>0.26860119934245802</v>
      </c>
    </row>
    <row r="762" spans="2:25" x14ac:dyDescent="0.35">
      <c r="B762" t="s">
        <v>279</v>
      </c>
      <c r="C762" s="17">
        <v>7.8099484908208797E-2</v>
      </c>
      <c r="D762" s="17">
        <v>9.5615034247365394E-2</v>
      </c>
      <c r="E762" s="17">
        <v>6.1298850741112097E-2</v>
      </c>
      <c r="F762" s="17"/>
      <c r="G762" s="17">
        <v>0.108353629690189</v>
      </c>
      <c r="H762" s="17">
        <v>0.104350859730457</v>
      </c>
      <c r="I762" s="17">
        <v>7.2742628430288794E-2</v>
      </c>
      <c r="J762" s="17">
        <v>8.4726416162714702E-2</v>
      </c>
      <c r="K762" s="17">
        <v>5.8768987243907701E-2</v>
      </c>
      <c r="L762" s="17">
        <v>6.2931455837994699E-2</v>
      </c>
      <c r="M762" s="17"/>
      <c r="N762" s="17">
        <v>0.118780096912653</v>
      </c>
      <c r="O762" s="17">
        <v>0.11646562714751001</v>
      </c>
      <c r="P762" s="17">
        <v>7.4407556724614493E-2</v>
      </c>
      <c r="Q762" s="17">
        <v>0.105398002482349</v>
      </c>
      <c r="R762" s="17">
        <v>5.0980942304318301E-2</v>
      </c>
      <c r="S762" s="17">
        <v>9.05134103861817E-2</v>
      </c>
      <c r="T762" s="17">
        <v>6.7669456140742504E-2</v>
      </c>
      <c r="U762" s="17">
        <v>5.0563102329283398E-2</v>
      </c>
      <c r="V762" s="17">
        <v>0.110757145800929</v>
      </c>
      <c r="W762" s="17"/>
      <c r="X762" s="17">
        <v>8.5295799453058305E-2</v>
      </c>
      <c r="Y762" s="17">
        <v>7.4117285329237406E-2</v>
      </c>
    </row>
    <row r="763" spans="2:25" x14ac:dyDescent="0.35">
      <c r="B763" t="s">
        <v>280</v>
      </c>
      <c r="C763" s="17">
        <v>6.5742962274951397E-2</v>
      </c>
      <c r="D763" s="17">
        <v>8.8940386305342498E-2</v>
      </c>
      <c r="E763" s="17">
        <v>4.4167958103800802E-2</v>
      </c>
      <c r="F763" s="17"/>
      <c r="G763" s="17">
        <v>5.0187161151027802E-2</v>
      </c>
      <c r="H763" s="17">
        <v>8.0460374928698605E-2</v>
      </c>
      <c r="I763" s="17">
        <v>6.1622280306227399E-2</v>
      </c>
      <c r="J763" s="17">
        <v>7.5762983436882606E-2</v>
      </c>
      <c r="K763" s="17">
        <v>6.8130337467220206E-2</v>
      </c>
      <c r="L763" s="17">
        <v>5.7044150011515402E-2</v>
      </c>
      <c r="M763" s="17"/>
      <c r="N763" s="17">
        <v>8.6389714274281701E-2</v>
      </c>
      <c r="O763" s="17">
        <v>0.120026247590724</v>
      </c>
      <c r="P763" s="17">
        <v>5.5391762541999102E-2</v>
      </c>
      <c r="Q763" s="17">
        <v>9.7456933551534494E-2</v>
      </c>
      <c r="R763" s="17">
        <v>3.9456506961348697E-2</v>
      </c>
      <c r="S763" s="17">
        <v>7.9762740264683704E-2</v>
      </c>
      <c r="T763" s="17">
        <v>5.7674921244774899E-2</v>
      </c>
      <c r="U763" s="17">
        <v>3.54258072021632E-2</v>
      </c>
      <c r="V763" s="17">
        <v>0.101397970395103</v>
      </c>
      <c r="W763" s="17"/>
      <c r="X763" s="17">
        <v>7.3743311357627794E-2</v>
      </c>
      <c r="Y763" s="17">
        <v>6.1315836897078597E-2</v>
      </c>
    </row>
    <row r="764" spans="2:25" x14ac:dyDescent="0.35">
      <c r="B764" t="s">
        <v>224</v>
      </c>
      <c r="C764" s="17">
        <v>7.6453979271404807E-2</v>
      </c>
      <c r="D764" s="17">
        <v>5.18265247073941E-2</v>
      </c>
      <c r="E764" s="17">
        <v>9.9390185113243906E-2</v>
      </c>
      <c r="F764" s="17"/>
      <c r="G764" s="17">
        <v>3.89101181463005E-2</v>
      </c>
      <c r="H764" s="17">
        <v>3.2392308223230103E-2</v>
      </c>
      <c r="I764" s="17">
        <v>6.72233248631319E-2</v>
      </c>
      <c r="J764" s="17">
        <v>7.7073870981352294E-2</v>
      </c>
      <c r="K764" s="17">
        <v>9.7969499748802397E-2</v>
      </c>
      <c r="L764" s="17">
        <v>0.107845145486618</v>
      </c>
      <c r="M764" s="17"/>
      <c r="N764" s="17">
        <v>7.8909880824765397E-2</v>
      </c>
      <c r="O764" s="17">
        <v>4.8685443282917101E-2</v>
      </c>
      <c r="P764" s="17">
        <v>3.2980932170665798E-2</v>
      </c>
      <c r="Q764" s="17">
        <v>3.9111875777021902E-2</v>
      </c>
      <c r="R764" s="17">
        <v>0.13618616381997101</v>
      </c>
      <c r="S764" s="17">
        <v>0.102082377545976</v>
      </c>
      <c r="T764" s="17">
        <v>0.10984510687615601</v>
      </c>
      <c r="U764" s="17">
        <v>3.1913564247003201E-2</v>
      </c>
      <c r="V764" s="17">
        <v>0.10473155451124599</v>
      </c>
      <c r="W764" s="17"/>
      <c r="X764" s="17">
        <v>3.7423435510273599E-2</v>
      </c>
      <c r="Y764" s="17">
        <v>9.8052175676513698E-2</v>
      </c>
    </row>
    <row r="765" spans="2:25" x14ac:dyDescent="0.35">
      <c r="B765" t="s">
        <v>281</v>
      </c>
      <c r="C765" s="17">
        <v>0.52395723312093201</v>
      </c>
      <c r="D765" s="17">
        <v>0.49197294957727</v>
      </c>
      <c r="E765" s="17">
        <v>0.55400325377788295</v>
      </c>
      <c r="F765" s="17"/>
      <c r="G765" s="17">
        <v>0.48895493879947499</v>
      </c>
      <c r="H765" s="17">
        <v>0.52294895283514298</v>
      </c>
      <c r="I765" s="17">
        <v>0.54592695133565905</v>
      </c>
      <c r="J765" s="17">
        <v>0.51822508126331401</v>
      </c>
      <c r="K765" s="17">
        <v>0.51505888509595699</v>
      </c>
      <c r="L765" s="17">
        <v>0.53326169993842398</v>
      </c>
      <c r="M765" s="17"/>
      <c r="N765" s="17">
        <v>0.41842076648447002</v>
      </c>
      <c r="O765" s="17">
        <v>0.454352343131325</v>
      </c>
      <c r="P765" s="17">
        <v>0.58854682489902999</v>
      </c>
      <c r="Q765" s="17">
        <v>0.47140058415627201</v>
      </c>
      <c r="R765" s="17">
        <v>0.52818443566019002</v>
      </c>
      <c r="S765" s="17">
        <v>0.45009170257425302</v>
      </c>
      <c r="T765" s="17">
        <v>0.51957566579236103</v>
      </c>
      <c r="U765" s="17">
        <v>0.66758305180249899</v>
      </c>
      <c r="V765" s="17">
        <v>0.40927009920009799</v>
      </c>
      <c r="W765" s="17"/>
      <c r="X765" s="17">
        <v>0.57102139249311901</v>
      </c>
      <c r="Y765" s="17">
        <v>0.49791350275471302</v>
      </c>
    </row>
    <row r="766" spans="2:25" x14ac:dyDescent="0.35">
      <c r="B766" t="s">
        <v>282</v>
      </c>
      <c r="C766" s="17">
        <v>0.14384244718316</v>
      </c>
      <c r="D766" s="17">
        <v>0.18455542055270799</v>
      </c>
      <c r="E766" s="17">
        <v>0.105466808844913</v>
      </c>
      <c r="F766" s="17"/>
      <c r="G766" s="17">
        <v>0.158540790841217</v>
      </c>
      <c r="H766" s="17">
        <v>0.184811234659155</v>
      </c>
      <c r="I766" s="17">
        <v>0.13436490873651599</v>
      </c>
      <c r="J766" s="17">
        <v>0.16048939959959699</v>
      </c>
      <c r="K766" s="17">
        <v>0.126899324711128</v>
      </c>
      <c r="L766" s="17">
        <v>0.11997560584951</v>
      </c>
      <c r="M766" s="17"/>
      <c r="N766" s="17">
        <v>0.205169811186935</v>
      </c>
      <c r="O766" s="17">
        <v>0.23649187473823399</v>
      </c>
      <c r="P766" s="17">
        <v>0.129799319266614</v>
      </c>
      <c r="Q766" s="17">
        <v>0.20285493603388299</v>
      </c>
      <c r="R766" s="17">
        <v>9.0437449265667005E-2</v>
      </c>
      <c r="S766" s="17">
        <v>0.17027615065086499</v>
      </c>
      <c r="T766" s="17">
        <v>0.12534437738551699</v>
      </c>
      <c r="U766" s="17">
        <v>8.5988909531446597E-2</v>
      </c>
      <c r="V766" s="17">
        <v>0.212155116196032</v>
      </c>
      <c r="W766" s="17"/>
      <c r="X766" s="17">
        <v>0.159039110810686</v>
      </c>
      <c r="Y766" s="17">
        <v>0.13543312222631601</v>
      </c>
    </row>
    <row r="767" spans="2:25" x14ac:dyDescent="0.35">
      <c r="B767" t="s">
        <v>92</v>
      </c>
      <c r="C767" s="17">
        <v>0.38011478593777198</v>
      </c>
      <c r="D767" s="17">
        <v>0.30741752902456199</v>
      </c>
      <c r="E767" s="17">
        <v>0.44853644493297001</v>
      </c>
      <c r="F767" s="17"/>
      <c r="G767" s="17">
        <v>0.33041414795825802</v>
      </c>
      <c r="H767" s="17">
        <v>0.33813771817598798</v>
      </c>
      <c r="I767" s="17">
        <v>0.41156204259914297</v>
      </c>
      <c r="J767" s="17">
        <v>0.357735681663716</v>
      </c>
      <c r="K767" s="17">
        <v>0.38815956038482902</v>
      </c>
      <c r="L767" s="17">
        <v>0.41328609408891398</v>
      </c>
      <c r="M767" s="17"/>
      <c r="N767" s="17">
        <v>0.21325095529753499</v>
      </c>
      <c r="O767" s="17">
        <v>0.21786046839309101</v>
      </c>
      <c r="P767" s="17">
        <v>0.45874750563241601</v>
      </c>
      <c r="Q767" s="17">
        <v>0.26854564812238901</v>
      </c>
      <c r="R767" s="17">
        <v>0.43774698639452297</v>
      </c>
      <c r="S767" s="17">
        <v>0.27981555192338697</v>
      </c>
      <c r="T767" s="17">
        <v>0.39423128840684402</v>
      </c>
      <c r="U767" s="17">
        <v>0.58159414227105199</v>
      </c>
      <c r="V767" s="17">
        <v>0.19711498300406599</v>
      </c>
      <c r="W767" s="17"/>
      <c r="X767" s="17">
        <v>0.411982281682433</v>
      </c>
      <c r="Y767" s="17">
        <v>0.36248038052839698</v>
      </c>
    </row>
    <row r="768" spans="2:25" x14ac:dyDescent="0.35">
      <c r="C768" s="17"/>
      <c r="D768" s="17"/>
      <c r="E768" s="17"/>
      <c r="F768" s="17"/>
      <c r="G768" s="17"/>
      <c r="H768" s="17"/>
      <c r="I768" s="17"/>
      <c r="J768" s="17"/>
      <c r="K768" s="17"/>
      <c r="L768" s="17"/>
      <c r="M768" s="17"/>
      <c r="N768" s="17"/>
      <c r="O768" s="17"/>
      <c r="P768" s="17"/>
      <c r="Q768" s="17"/>
      <c r="R768" s="17"/>
      <c r="S768" s="17"/>
      <c r="T768" s="17"/>
      <c r="U768" s="17"/>
      <c r="V768" s="17"/>
      <c r="W768" s="17"/>
      <c r="X768" s="17"/>
      <c r="Y768" s="17"/>
    </row>
    <row r="769" spans="2:25" x14ac:dyDescent="0.35">
      <c r="B769" s="6" t="s">
        <v>311</v>
      </c>
      <c r="C769" s="17"/>
      <c r="D769" s="17"/>
      <c r="E769" s="17"/>
      <c r="F769" s="17"/>
      <c r="G769" s="17"/>
      <c r="H769" s="17"/>
      <c r="I769" s="17"/>
      <c r="J769" s="17"/>
      <c r="K769" s="17"/>
      <c r="L769" s="17"/>
      <c r="M769" s="17"/>
      <c r="N769" s="17"/>
      <c r="O769" s="17"/>
      <c r="P769" s="17"/>
      <c r="Q769" s="17"/>
      <c r="R769" s="17"/>
      <c r="S769" s="17"/>
      <c r="T769" s="17"/>
      <c r="U769" s="17"/>
      <c r="V769" s="17"/>
      <c r="W769" s="17"/>
      <c r="X769" s="17"/>
      <c r="Y769" s="17"/>
    </row>
    <row r="770" spans="2:25" x14ac:dyDescent="0.35">
      <c r="B770" s="24" t="s">
        <v>534</v>
      </c>
      <c r="C770" s="17"/>
      <c r="D770" s="17"/>
      <c r="E770" s="17"/>
      <c r="F770" s="17"/>
      <c r="G770" s="17"/>
      <c r="H770" s="17"/>
      <c r="I770" s="17"/>
      <c r="J770" s="17"/>
      <c r="K770" s="17"/>
      <c r="L770" s="17"/>
      <c r="M770" s="17"/>
      <c r="N770" s="17"/>
      <c r="O770" s="17"/>
      <c r="P770" s="17"/>
      <c r="Q770" s="17"/>
      <c r="R770" s="17"/>
      <c r="S770" s="17"/>
      <c r="T770" s="17"/>
      <c r="U770" s="17"/>
      <c r="V770" s="17"/>
      <c r="W770" s="17"/>
      <c r="X770" s="17"/>
      <c r="Y770" s="17"/>
    </row>
    <row r="771" spans="2:25" x14ac:dyDescent="0.35">
      <c r="B771" t="s">
        <v>305</v>
      </c>
      <c r="C771" s="17">
        <v>0.47567427961680397</v>
      </c>
      <c r="D771" s="17">
        <v>0.466782709605154</v>
      </c>
      <c r="E771" s="17">
        <v>0.48786112665192799</v>
      </c>
      <c r="F771" s="17"/>
      <c r="G771" s="17">
        <v>0.360066687536374</v>
      </c>
      <c r="H771" s="17">
        <v>0.46998594658867598</v>
      </c>
      <c r="I771" s="17">
        <v>0.46823125684210298</v>
      </c>
      <c r="J771" s="17">
        <v>0.48505969065667298</v>
      </c>
      <c r="K771" s="17">
        <v>0.49760490695209397</v>
      </c>
      <c r="L771" s="17">
        <v>0.58150738118925704</v>
      </c>
      <c r="M771" s="17"/>
      <c r="N771" s="17">
        <v>0.40803836992238501</v>
      </c>
      <c r="O771" s="17">
        <v>0.28619513244383699</v>
      </c>
      <c r="P771" s="17">
        <v>0.44241289649062998</v>
      </c>
      <c r="Q771" s="17">
        <v>0.53569370902142899</v>
      </c>
      <c r="R771" s="17">
        <v>0.51104793214898503</v>
      </c>
      <c r="S771" s="17">
        <v>0.47003137618094398</v>
      </c>
      <c r="T771" s="17">
        <v>0.488414249379094</v>
      </c>
      <c r="U771" s="17">
        <v>0.48186867990587101</v>
      </c>
      <c r="V771" s="17">
        <v>0.40811511881979301</v>
      </c>
      <c r="W771" s="17"/>
      <c r="X771" s="17">
        <v>0.61609184402168105</v>
      </c>
      <c r="Y771" s="17">
        <v>0.36086775250013498</v>
      </c>
    </row>
    <row r="772" spans="2:25" x14ac:dyDescent="0.35">
      <c r="B772" t="s">
        <v>306</v>
      </c>
      <c r="C772" s="17">
        <v>0.12394894732541401</v>
      </c>
      <c r="D772" s="17">
        <v>0.17890485754859001</v>
      </c>
      <c r="E772" s="17">
        <v>5.6805931666954301E-2</v>
      </c>
      <c r="F772" s="17"/>
      <c r="G772" s="17">
        <v>0.109596712630675</v>
      </c>
      <c r="H772" s="17">
        <v>0.12569205349172599</v>
      </c>
      <c r="I772" s="17">
        <v>0.15355483061533701</v>
      </c>
      <c r="J772" s="17">
        <v>0.13197420047400801</v>
      </c>
      <c r="K772" s="17">
        <v>9.6915298183217494E-2</v>
      </c>
      <c r="L772" s="17">
        <v>4.9167852706732303E-2</v>
      </c>
      <c r="M772" s="17"/>
      <c r="N772" s="17">
        <v>0.10969789346229</v>
      </c>
      <c r="O772" s="17">
        <v>8.2641534459727606E-2</v>
      </c>
      <c r="P772" s="17">
        <v>0.113792821474773</v>
      </c>
      <c r="Q772" s="17">
        <v>9.0507414201976402E-2</v>
      </c>
      <c r="R772" s="17">
        <v>0.123532415710257</v>
      </c>
      <c r="S772" s="17">
        <v>0.107656734223451</v>
      </c>
      <c r="T772" s="17">
        <v>0.19674964024422001</v>
      </c>
      <c r="U772" s="17">
        <v>0.12367404570757699</v>
      </c>
      <c r="V772" s="17">
        <v>9.5255288307701899E-2</v>
      </c>
      <c r="W772" s="17"/>
      <c r="X772" s="17">
        <v>5.7927083393298197E-2</v>
      </c>
      <c r="Y772" s="17">
        <v>0.177928952917594</v>
      </c>
    </row>
    <row r="773" spans="2:25" x14ac:dyDescent="0.35">
      <c r="B773" t="s">
        <v>307</v>
      </c>
      <c r="C773" s="17">
        <v>8.8795622341477601E-2</v>
      </c>
      <c r="D773" s="17">
        <v>6.4459444256371998E-2</v>
      </c>
      <c r="E773" s="17">
        <v>0.117534992530491</v>
      </c>
      <c r="F773" s="17"/>
      <c r="G773" s="17">
        <v>0.18765020832953699</v>
      </c>
      <c r="H773" s="17">
        <v>9.6163189879923505E-2</v>
      </c>
      <c r="I773" s="17">
        <v>8.3003125072378697E-2</v>
      </c>
      <c r="J773" s="17">
        <v>7.7359453039510598E-2</v>
      </c>
      <c r="K773" s="17">
        <v>7.5630757514952393E-2</v>
      </c>
      <c r="L773" s="17">
        <v>4.27472038084711E-2</v>
      </c>
      <c r="M773" s="17"/>
      <c r="N773" s="17">
        <v>9.7285836409696999E-2</v>
      </c>
      <c r="O773" s="17">
        <v>0.119398121298044</v>
      </c>
      <c r="P773" s="17">
        <v>0.105988594732944</v>
      </c>
      <c r="Q773" s="17">
        <v>6.9312751542677395E-2</v>
      </c>
      <c r="R773" s="17">
        <v>9.8111443542750199E-2</v>
      </c>
      <c r="S773" s="17">
        <v>8.74855139263266E-2</v>
      </c>
      <c r="T773" s="17">
        <v>6.8135253102526702E-2</v>
      </c>
      <c r="U773" s="17">
        <v>0.108894148361461</v>
      </c>
      <c r="V773" s="17">
        <v>7.3848411856076795E-2</v>
      </c>
      <c r="W773" s="17"/>
      <c r="X773" s="17">
        <v>5.1955200431702299E-2</v>
      </c>
      <c r="Y773" s="17">
        <v>0.118916646836525</v>
      </c>
    </row>
    <row r="774" spans="2:25" x14ac:dyDescent="0.35">
      <c r="B774" t="s">
        <v>308</v>
      </c>
      <c r="C774" s="17">
        <v>0.12489231244456001</v>
      </c>
      <c r="D774" s="17">
        <v>8.6518320771118901E-2</v>
      </c>
      <c r="E774" s="17">
        <v>0.171494130246335</v>
      </c>
      <c r="F774" s="17"/>
      <c r="G774" s="17">
        <v>0.179620620141662</v>
      </c>
      <c r="H774" s="17">
        <v>0.13469821596819201</v>
      </c>
      <c r="I774" s="17">
        <v>0.107831204390888</v>
      </c>
      <c r="J774" s="17">
        <v>0.117278033533641</v>
      </c>
      <c r="K774" s="17">
        <v>0.12745836603560501</v>
      </c>
      <c r="L774" s="17">
        <v>0.113311436625259</v>
      </c>
      <c r="M774" s="17"/>
      <c r="N774" s="17">
        <v>0.20222344001460499</v>
      </c>
      <c r="O774" s="17">
        <v>0.291025619438879</v>
      </c>
      <c r="P774" s="17">
        <v>0.140846083812285</v>
      </c>
      <c r="Q774" s="17">
        <v>0.13011898882943901</v>
      </c>
      <c r="R774" s="17">
        <v>0.104738098612758</v>
      </c>
      <c r="S774" s="17">
        <v>0.156749227526777</v>
      </c>
      <c r="T774" s="17">
        <v>5.9636230305959902E-2</v>
      </c>
      <c r="U774" s="17">
        <v>9.4251280965901907E-2</v>
      </c>
      <c r="V774" s="17">
        <v>0.18301522468776099</v>
      </c>
      <c r="W774" s="17"/>
      <c r="X774" s="17">
        <v>0.147723412135631</v>
      </c>
      <c r="Y774" s="17">
        <v>0.106225422181255</v>
      </c>
    </row>
    <row r="775" spans="2:25" x14ac:dyDescent="0.35">
      <c r="B775" t="s">
        <v>309</v>
      </c>
      <c r="C775" s="17">
        <v>6.5200342663549807E-2</v>
      </c>
      <c r="D775" s="17">
        <v>9.2173250560033407E-2</v>
      </c>
      <c r="E775" s="17">
        <v>3.2243523145423197E-2</v>
      </c>
      <c r="F775" s="17"/>
      <c r="G775" s="17">
        <v>6.2916222360386895E-2</v>
      </c>
      <c r="H775" s="17">
        <v>7.9179995387972907E-2</v>
      </c>
      <c r="I775" s="17">
        <v>7.2762289320075293E-2</v>
      </c>
      <c r="J775" s="17">
        <v>6.1530081418185903E-2</v>
      </c>
      <c r="K775" s="17">
        <v>4.8302275540271798E-2</v>
      </c>
      <c r="L775" s="17">
        <v>4.6431731387867603E-2</v>
      </c>
      <c r="M775" s="17"/>
      <c r="N775" s="17">
        <v>6.5741236496832903E-2</v>
      </c>
      <c r="O775" s="17">
        <v>6.7639423022315903E-2</v>
      </c>
      <c r="P775" s="17">
        <v>4.4056286251456002E-2</v>
      </c>
      <c r="Q775" s="17">
        <v>6.8164108025563705E-2</v>
      </c>
      <c r="R775" s="17">
        <v>4.1829527735485802E-2</v>
      </c>
      <c r="S775" s="17">
        <v>7.9845474182785106E-2</v>
      </c>
      <c r="T775" s="17">
        <v>8.5742138139716498E-2</v>
      </c>
      <c r="U775" s="17">
        <v>5.43238018464599E-2</v>
      </c>
      <c r="V775" s="17">
        <v>8.5524758386803706E-2</v>
      </c>
      <c r="W775" s="17"/>
      <c r="X775" s="17">
        <v>4.5760723202187402E-2</v>
      </c>
      <c r="Y775" s="17">
        <v>8.1094331483876597E-2</v>
      </c>
    </row>
    <row r="776" spans="2:25" x14ac:dyDescent="0.35">
      <c r="B776" t="s">
        <v>310</v>
      </c>
      <c r="C776" s="17">
        <v>0.121488495608195</v>
      </c>
      <c r="D776" s="17">
        <v>0.11116141725873201</v>
      </c>
      <c r="E776" s="17">
        <v>0.13406029575886899</v>
      </c>
      <c r="F776" s="17"/>
      <c r="G776" s="17">
        <v>0.100149549001365</v>
      </c>
      <c r="H776" s="17">
        <v>9.4280598683509506E-2</v>
      </c>
      <c r="I776" s="17">
        <v>0.114617293759218</v>
      </c>
      <c r="J776" s="17">
        <v>0.12679854087798101</v>
      </c>
      <c r="K776" s="17">
        <v>0.15408839577385899</v>
      </c>
      <c r="L776" s="17">
        <v>0.16683439428241301</v>
      </c>
      <c r="M776" s="17"/>
      <c r="N776" s="17">
        <v>0.117013223694191</v>
      </c>
      <c r="O776" s="17">
        <v>0.153100169337197</v>
      </c>
      <c r="P776" s="17">
        <v>0.15290331723791201</v>
      </c>
      <c r="Q776" s="17">
        <v>0.106203028378914</v>
      </c>
      <c r="R776" s="17">
        <v>0.120740582249764</v>
      </c>
      <c r="S776" s="17">
        <v>9.8231673959716395E-2</v>
      </c>
      <c r="T776" s="17">
        <v>0.10132248882848199</v>
      </c>
      <c r="U776" s="17">
        <v>0.136988043212729</v>
      </c>
      <c r="V776" s="17">
        <v>0.154241197941863</v>
      </c>
      <c r="W776" s="17"/>
      <c r="X776" s="17">
        <v>8.0541736815500406E-2</v>
      </c>
      <c r="Y776" s="17">
        <v>0.15496689408061501</v>
      </c>
    </row>
    <row r="777" spans="2:25" x14ac:dyDescent="0.35">
      <c r="C777" s="17"/>
      <c r="D777" s="17"/>
      <c r="E777" s="17"/>
      <c r="F777" s="17"/>
      <c r="G777" s="17"/>
      <c r="H777" s="17"/>
      <c r="I777" s="17"/>
      <c r="J777" s="17"/>
      <c r="K777" s="17"/>
      <c r="L777" s="17"/>
      <c r="M777" s="17"/>
      <c r="N777" s="17"/>
      <c r="O777" s="17"/>
      <c r="P777" s="17"/>
      <c r="Q777" s="17"/>
      <c r="R777" s="17"/>
      <c r="S777" s="17"/>
      <c r="T777" s="17"/>
      <c r="U777" s="17"/>
      <c r="V777" s="17"/>
      <c r="W777" s="17"/>
      <c r="X777" s="17"/>
      <c r="Y777" s="17"/>
    </row>
    <row r="778" spans="2:25" x14ac:dyDescent="0.35">
      <c r="B778" s="6" t="s">
        <v>326</v>
      </c>
      <c r="C778" s="17"/>
      <c r="D778" s="17"/>
      <c r="E778" s="17"/>
      <c r="F778" s="17"/>
      <c r="G778" s="17"/>
      <c r="H778" s="17"/>
      <c r="I778" s="17"/>
      <c r="J778" s="17"/>
      <c r="K778" s="17"/>
      <c r="L778" s="17"/>
      <c r="M778" s="17"/>
      <c r="N778" s="17"/>
      <c r="O778" s="17"/>
      <c r="P778" s="17"/>
      <c r="Q778" s="17"/>
      <c r="R778" s="17"/>
      <c r="S778" s="17"/>
      <c r="T778" s="17"/>
      <c r="U778" s="17"/>
      <c r="V778" s="17"/>
      <c r="W778" s="17"/>
      <c r="X778" s="17"/>
      <c r="Y778" s="17"/>
    </row>
    <row r="779" spans="2:25" x14ac:dyDescent="0.35">
      <c r="B779" s="24" t="s">
        <v>534</v>
      </c>
      <c r="C779" s="17"/>
      <c r="D779" s="17"/>
      <c r="E779" s="17"/>
      <c r="F779" s="17"/>
      <c r="G779" s="17"/>
      <c r="H779" s="17"/>
      <c r="I779" s="17"/>
      <c r="J779" s="17"/>
      <c r="K779" s="17"/>
      <c r="L779" s="17"/>
      <c r="M779" s="17"/>
      <c r="N779" s="17"/>
      <c r="O779" s="17"/>
      <c r="P779" s="17"/>
      <c r="Q779" s="17"/>
      <c r="R779" s="17"/>
      <c r="S779" s="17"/>
      <c r="T779" s="17"/>
      <c r="U779" s="17"/>
      <c r="V779" s="17"/>
      <c r="W779" s="17"/>
      <c r="X779" s="17"/>
      <c r="Y779" s="17"/>
    </row>
    <row r="780" spans="2:25" x14ac:dyDescent="0.35">
      <c r="B780" t="s">
        <v>321</v>
      </c>
      <c r="C780" s="17">
        <v>0.335194781277873</v>
      </c>
      <c r="D780" s="17">
        <v>0.35730067958100498</v>
      </c>
      <c r="E780" s="17">
        <v>0.30848335594779602</v>
      </c>
      <c r="F780" s="17"/>
      <c r="G780" s="17">
        <v>0.32123458686024098</v>
      </c>
      <c r="H780" s="17">
        <v>0.334957290652733</v>
      </c>
      <c r="I780" s="17">
        <v>0.34506291617736601</v>
      </c>
      <c r="J780" s="17">
        <v>0.31322946399727702</v>
      </c>
      <c r="K780" s="17">
        <v>0.33939845561286702</v>
      </c>
      <c r="L780" s="17">
        <v>0.39859724145045999</v>
      </c>
      <c r="M780" s="17"/>
      <c r="N780" s="17">
        <v>0.267440144909599</v>
      </c>
      <c r="O780" s="17">
        <v>0.512877046525689</v>
      </c>
      <c r="P780" s="17">
        <v>0.334816614021343</v>
      </c>
      <c r="Q780" s="17">
        <v>0.24843873119621801</v>
      </c>
      <c r="R780" s="17">
        <v>0.32424848367296399</v>
      </c>
      <c r="S780" s="17">
        <v>0.35971882349907802</v>
      </c>
      <c r="T780" s="17">
        <v>0.31274005041284503</v>
      </c>
      <c r="U780" s="17">
        <v>0.412581924512121</v>
      </c>
      <c r="V780" s="17">
        <v>0.34545875729709602</v>
      </c>
      <c r="W780" s="17"/>
      <c r="X780" s="17">
        <v>0.41109431278618802</v>
      </c>
      <c r="Y780" s="17">
        <v>0.273138715434666</v>
      </c>
    </row>
    <row r="781" spans="2:25" x14ac:dyDescent="0.35">
      <c r="B781" t="s">
        <v>277</v>
      </c>
      <c r="C781" s="17">
        <v>0.35988269522361599</v>
      </c>
      <c r="D781" s="17">
        <v>0.35703605746762601</v>
      </c>
      <c r="E781" s="17">
        <v>0.36346074211704099</v>
      </c>
      <c r="F781" s="17"/>
      <c r="G781" s="17">
        <v>0.40969225810722298</v>
      </c>
      <c r="H781" s="17">
        <v>0.36543675041926599</v>
      </c>
      <c r="I781" s="17">
        <v>0.34932806784266901</v>
      </c>
      <c r="J781" s="17">
        <v>0.36691580178869199</v>
      </c>
      <c r="K781" s="17">
        <v>0.34371535787298901</v>
      </c>
      <c r="L781" s="17">
        <v>0.337133024593605</v>
      </c>
      <c r="M781" s="17"/>
      <c r="N781" s="17">
        <v>0.44896197279212702</v>
      </c>
      <c r="O781" s="17">
        <v>0.31234147278239199</v>
      </c>
      <c r="P781" s="17">
        <v>0.30852927407494002</v>
      </c>
      <c r="Q781" s="17">
        <v>0.33460961193466099</v>
      </c>
      <c r="R781" s="17">
        <v>0.405655995340447</v>
      </c>
      <c r="S781" s="17">
        <v>0.34612363055455098</v>
      </c>
      <c r="T781" s="17">
        <v>0.42284730923186098</v>
      </c>
      <c r="U781" s="17">
        <v>0.312905670280126</v>
      </c>
      <c r="V781" s="17">
        <v>0.39532926135836799</v>
      </c>
      <c r="W781" s="17"/>
      <c r="X781" s="17">
        <v>0.351914176553902</v>
      </c>
      <c r="Y781" s="17">
        <v>0.366397820013108</v>
      </c>
    </row>
    <row r="782" spans="2:25" x14ac:dyDescent="0.35">
      <c r="B782" t="s">
        <v>322</v>
      </c>
      <c r="C782" s="17">
        <v>0.17569238440665899</v>
      </c>
      <c r="D782" s="17">
        <v>0.179057077349245</v>
      </c>
      <c r="E782" s="17">
        <v>0.171831857163838</v>
      </c>
      <c r="F782" s="17"/>
      <c r="G782" s="17">
        <v>0.159960667168177</v>
      </c>
      <c r="H782" s="17">
        <v>0.195071737740872</v>
      </c>
      <c r="I782" s="17">
        <v>0.17692391668559801</v>
      </c>
      <c r="J782" s="17">
        <v>0.16239828785598301</v>
      </c>
      <c r="K782" s="17">
        <v>0.18191448897483101</v>
      </c>
      <c r="L782" s="17">
        <v>0.14965004480057001</v>
      </c>
      <c r="M782" s="17"/>
      <c r="N782" s="17">
        <v>0.15452966627165299</v>
      </c>
      <c r="O782" s="17">
        <v>0.117856574137137</v>
      </c>
      <c r="P782" s="17">
        <v>0.166641837946094</v>
      </c>
      <c r="Q782" s="17">
        <v>0.23097302786732901</v>
      </c>
      <c r="R782" s="17">
        <v>0.17060991801393099</v>
      </c>
      <c r="S782" s="17">
        <v>0.189333565455299</v>
      </c>
      <c r="T782" s="17">
        <v>0.159267953563998</v>
      </c>
      <c r="U782" s="17">
        <v>0.150994885639403</v>
      </c>
      <c r="V782" s="17">
        <v>0.175346635700034</v>
      </c>
      <c r="W782" s="17"/>
      <c r="X782" s="17">
        <v>0.15935053877657299</v>
      </c>
      <c r="Y782" s="17">
        <v>0.18905360849153999</v>
      </c>
    </row>
    <row r="783" spans="2:25" x14ac:dyDescent="0.35">
      <c r="B783" t="s">
        <v>323</v>
      </c>
      <c r="C783" s="17">
        <v>0.12697643175491</v>
      </c>
      <c r="D783" s="17">
        <v>0.104478800932559</v>
      </c>
      <c r="E783" s="17">
        <v>0.15380522847741901</v>
      </c>
      <c r="F783" s="17"/>
      <c r="G783" s="17">
        <v>0.100058671363654</v>
      </c>
      <c r="H783" s="17">
        <v>0.104534221187128</v>
      </c>
      <c r="I783" s="17">
        <v>0.126173393097124</v>
      </c>
      <c r="J783" s="17">
        <v>0.15651739622261401</v>
      </c>
      <c r="K783" s="17">
        <v>0.13055850286638701</v>
      </c>
      <c r="L783" s="17">
        <v>0.114619689155365</v>
      </c>
      <c r="M783" s="17"/>
      <c r="N783" s="17">
        <v>0.129068216026621</v>
      </c>
      <c r="O783" s="17">
        <v>5.6924906554782301E-2</v>
      </c>
      <c r="P783" s="17">
        <v>0.18343882161219999</v>
      </c>
      <c r="Q783" s="17">
        <v>0.178917435254381</v>
      </c>
      <c r="R783" s="17">
        <v>9.9485602972658099E-2</v>
      </c>
      <c r="S783" s="17">
        <v>0.104823980491072</v>
      </c>
      <c r="T783" s="17">
        <v>0.105144686791296</v>
      </c>
      <c r="U783" s="17">
        <v>0.12351751956835</v>
      </c>
      <c r="V783" s="17">
        <v>7.94555239374721E-2</v>
      </c>
      <c r="W783" s="17"/>
      <c r="X783" s="17">
        <v>7.6912848913575804E-2</v>
      </c>
      <c r="Y783" s="17">
        <v>0.16790881870657801</v>
      </c>
    </row>
    <row r="784" spans="2:25" x14ac:dyDescent="0.35">
      <c r="B784" t="s">
        <v>324</v>
      </c>
      <c r="C784" s="17">
        <v>2.25370733694204E-3</v>
      </c>
      <c r="D784" s="17">
        <v>2.12738466956559E-3</v>
      </c>
      <c r="E784" s="17">
        <v>2.4188162939063401E-3</v>
      </c>
      <c r="F784" s="17"/>
      <c r="G784" s="17">
        <v>9.0538165007045795E-3</v>
      </c>
      <c r="H784" s="17">
        <v>0</v>
      </c>
      <c r="I784" s="17">
        <v>2.51170619724401E-3</v>
      </c>
      <c r="J784" s="17">
        <v>9.3905013543472201E-4</v>
      </c>
      <c r="K784" s="17">
        <v>4.4131946729257998E-3</v>
      </c>
      <c r="L784" s="17">
        <v>0</v>
      </c>
      <c r="M784" s="17"/>
      <c r="N784" s="17">
        <v>0</v>
      </c>
      <c r="O784" s="17">
        <v>0</v>
      </c>
      <c r="P784" s="17">
        <v>6.5734523454222E-3</v>
      </c>
      <c r="Q784" s="17">
        <v>7.0611937474112799E-3</v>
      </c>
      <c r="R784" s="17">
        <v>0</v>
      </c>
      <c r="S784" s="17">
        <v>0</v>
      </c>
      <c r="T784" s="17">
        <v>0</v>
      </c>
      <c r="U784" s="17">
        <v>0</v>
      </c>
      <c r="V784" s="17">
        <v>4.4098217070299298E-3</v>
      </c>
      <c r="W784" s="17"/>
      <c r="X784" s="17">
        <v>7.2812296976052502E-4</v>
      </c>
      <c r="Y784" s="17">
        <v>3.50103735410838E-3</v>
      </c>
    </row>
    <row r="785" spans="2:25" x14ac:dyDescent="0.35">
      <c r="C785" s="17"/>
      <c r="D785" s="17"/>
      <c r="E785" s="17"/>
      <c r="F785" s="17"/>
      <c r="G785" s="17"/>
      <c r="H785" s="17"/>
      <c r="I785" s="17"/>
      <c r="J785" s="17"/>
      <c r="K785" s="17"/>
      <c r="L785" s="17"/>
      <c r="M785" s="17"/>
      <c r="N785" s="17"/>
      <c r="O785" s="17"/>
      <c r="P785" s="17"/>
      <c r="Q785" s="17"/>
      <c r="R785" s="17"/>
      <c r="S785" s="17"/>
      <c r="T785" s="17"/>
      <c r="U785" s="17"/>
      <c r="V785" s="17"/>
      <c r="W785" s="17"/>
      <c r="X785" s="17"/>
      <c r="Y785" s="17"/>
    </row>
    <row r="786" spans="2:25" x14ac:dyDescent="0.35">
      <c r="B786" s="6" t="s">
        <v>327</v>
      </c>
      <c r="C786" s="17"/>
      <c r="D786" s="17"/>
      <c r="E786" s="17"/>
      <c r="F786" s="17"/>
      <c r="G786" s="17"/>
      <c r="H786" s="17"/>
      <c r="I786" s="17"/>
      <c r="J786" s="17"/>
      <c r="K786" s="17"/>
      <c r="L786" s="17"/>
      <c r="M786" s="17"/>
      <c r="N786" s="17"/>
      <c r="O786" s="17"/>
      <c r="P786" s="17"/>
      <c r="Q786" s="17"/>
      <c r="R786" s="17"/>
      <c r="S786" s="17"/>
      <c r="T786" s="17"/>
      <c r="U786" s="17"/>
      <c r="V786" s="17"/>
      <c r="W786" s="17"/>
      <c r="X786" s="17"/>
      <c r="Y786" s="17"/>
    </row>
    <row r="787" spans="2:25" x14ac:dyDescent="0.35">
      <c r="B787" s="24" t="s">
        <v>534</v>
      </c>
      <c r="C787" s="17"/>
      <c r="D787" s="17"/>
      <c r="E787" s="17"/>
      <c r="F787" s="17"/>
      <c r="G787" s="17"/>
      <c r="H787" s="17"/>
      <c r="I787" s="17"/>
      <c r="J787" s="17"/>
      <c r="K787" s="17"/>
      <c r="L787" s="17"/>
      <c r="M787" s="17"/>
      <c r="N787" s="17"/>
      <c r="O787" s="17"/>
      <c r="P787" s="17"/>
      <c r="Q787" s="17"/>
      <c r="R787" s="17"/>
      <c r="S787" s="17"/>
      <c r="T787" s="17"/>
      <c r="U787" s="17"/>
      <c r="V787" s="17"/>
      <c r="W787" s="17"/>
      <c r="X787" s="17"/>
      <c r="Y787" s="17"/>
    </row>
    <row r="788" spans="2:25" x14ac:dyDescent="0.35">
      <c r="B788" t="s">
        <v>321</v>
      </c>
      <c r="C788" s="17">
        <v>0.42086667960970597</v>
      </c>
      <c r="D788" s="17">
        <v>0.414852724588402</v>
      </c>
      <c r="E788" s="17">
        <v>0.42801066295988899</v>
      </c>
      <c r="F788" s="17"/>
      <c r="G788" s="17">
        <v>0.36365366896385998</v>
      </c>
      <c r="H788" s="17">
        <v>0.42182787046857301</v>
      </c>
      <c r="I788" s="17">
        <v>0.43134654046827298</v>
      </c>
      <c r="J788" s="17">
        <v>0.41093772031650699</v>
      </c>
      <c r="K788" s="17">
        <v>0.429001456703684</v>
      </c>
      <c r="L788" s="17">
        <v>0.46729598774138198</v>
      </c>
      <c r="M788" s="17"/>
      <c r="N788" s="17">
        <v>0.31801084875733698</v>
      </c>
      <c r="O788" s="17">
        <v>0.52458513860512901</v>
      </c>
      <c r="P788" s="17">
        <v>0.42887649750000001</v>
      </c>
      <c r="Q788" s="17">
        <v>0.39204061188445299</v>
      </c>
      <c r="R788" s="17">
        <v>0.41352695753487501</v>
      </c>
      <c r="S788" s="17">
        <v>0.43536699554771502</v>
      </c>
      <c r="T788" s="17">
        <v>0.35722038676849999</v>
      </c>
      <c r="U788" s="17">
        <v>0.478009182027609</v>
      </c>
      <c r="V788" s="17">
        <v>0.49644908139157501</v>
      </c>
      <c r="W788" s="17"/>
      <c r="X788" s="17">
        <v>0.53436468542082105</v>
      </c>
      <c r="Y788" s="17">
        <v>0.328069799553659</v>
      </c>
    </row>
    <row r="789" spans="2:25" x14ac:dyDescent="0.35">
      <c r="B789" t="s">
        <v>277</v>
      </c>
      <c r="C789" s="17">
        <v>0.35215816724960902</v>
      </c>
      <c r="D789" s="17">
        <v>0.36624677285498403</v>
      </c>
      <c r="E789" s="17">
        <v>0.33641249750281299</v>
      </c>
      <c r="F789" s="17"/>
      <c r="G789" s="17">
        <v>0.37773966348654198</v>
      </c>
      <c r="H789" s="17">
        <v>0.36885924518624402</v>
      </c>
      <c r="I789" s="17">
        <v>0.33591263103024699</v>
      </c>
      <c r="J789" s="17">
        <v>0.366157343399588</v>
      </c>
      <c r="K789" s="17">
        <v>0.322467841103041</v>
      </c>
      <c r="L789" s="17">
        <v>0.355802234803894</v>
      </c>
      <c r="M789" s="17"/>
      <c r="N789" s="17">
        <v>0.43537456548348202</v>
      </c>
      <c r="O789" s="17">
        <v>0.26113751268862301</v>
      </c>
      <c r="P789" s="17">
        <v>0.31498576458085498</v>
      </c>
      <c r="Q789" s="17">
        <v>0.32237436127625901</v>
      </c>
      <c r="R789" s="17">
        <v>0.398383484198643</v>
      </c>
      <c r="S789" s="17">
        <v>0.36190150639423402</v>
      </c>
      <c r="T789" s="17">
        <v>0.43216793845795498</v>
      </c>
      <c r="U789" s="17">
        <v>0.29112103121779198</v>
      </c>
      <c r="V789" s="17">
        <v>0.31488043980667102</v>
      </c>
      <c r="W789" s="17"/>
      <c r="X789" s="17">
        <v>0.33803371273222099</v>
      </c>
      <c r="Y789" s="17">
        <v>0.36370643457237101</v>
      </c>
    </row>
    <row r="790" spans="2:25" x14ac:dyDescent="0.35">
      <c r="B790" t="s">
        <v>322</v>
      </c>
      <c r="C790" s="17">
        <v>0.113804455898759</v>
      </c>
      <c r="D790" s="17">
        <v>0.117101195501273</v>
      </c>
      <c r="E790" s="17">
        <v>0.109197089355258</v>
      </c>
      <c r="F790" s="17"/>
      <c r="G790" s="17">
        <v>0.14211078037525601</v>
      </c>
      <c r="H790" s="17">
        <v>0.12774557018851501</v>
      </c>
      <c r="I790" s="17">
        <v>0.123550429345096</v>
      </c>
      <c r="J790" s="17">
        <v>0.10095548849505399</v>
      </c>
      <c r="K790" s="17">
        <v>0.102203242527327</v>
      </c>
      <c r="L790" s="17">
        <v>6.6585481922699002E-2</v>
      </c>
      <c r="M790" s="17"/>
      <c r="N790" s="17">
        <v>8.8480926894754897E-2</v>
      </c>
      <c r="O790" s="17">
        <v>0.13051421512934999</v>
      </c>
      <c r="P790" s="17">
        <v>0.117955654716715</v>
      </c>
      <c r="Q790" s="17">
        <v>0.14823861191049401</v>
      </c>
      <c r="R790" s="17">
        <v>0.103398751082283</v>
      </c>
      <c r="S790" s="17">
        <v>8.8725934148311106E-2</v>
      </c>
      <c r="T790" s="17">
        <v>0.11294624461352699</v>
      </c>
      <c r="U790" s="17">
        <v>0.11107223701718801</v>
      </c>
      <c r="V790" s="17">
        <v>0.117266682032902</v>
      </c>
      <c r="W790" s="17"/>
      <c r="X790" s="17">
        <v>8.5847044584962104E-2</v>
      </c>
      <c r="Y790" s="17">
        <v>0.136662659669154</v>
      </c>
    </row>
    <row r="791" spans="2:25" x14ac:dyDescent="0.35">
      <c r="B791" t="s">
        <v>323</v>
      </c>
      <c r="C791" s="17">
        <v>0.10777249947952799</v>
      </c>
      <c r="D791" s="17">
        <v>9.8607444129923297E-2</v>
      </c>
      <c r="E791" s="17">
        <v>0.11827949112215801</v>
      </c>
      <c r="F791" s="17"/>
      <c r="G791" s="17">
        <v>0.104019973321966</v>
      </c>
      <c r="H791" s="17">
        <v>7.9498270989521599E-2</v>
      </c>
      <c r="I791" s="17">
        <v>0.103640408877891</v>
      </c>
      <c r="J791" s="17">
        <v>0.116544753705746</v>
      </c>
      <c r="K791" s="17">
        <v>0.138278258564521</v>
      </c>
      <c r="L791" s="17">
        <v>0.110316295532025</v>
      </c>
      <c r="M791" s="17"/>
      <c r="N791" s="17">
        <v>0.12884554355136901</v>
      </c>
      <c r="O791" s="17">
        <v>8.3763133576898394E-2</v>
      </c>
      <c r="P791" s="17">
        <v>0.133629587430841</v>
      </c>
      <c r="Q791" s="17">
        <v>0.12757570942896199</v>
      </c>
      <c r="R791" s="17">
        <v>7.8352934703117896E-2</v>
      </c>
      <c r="S791" s="17">
        <v>0.10859064538143499</v>
      </c>
      <c r="T791" s="17">
        <v>9.4472309410279301E-2</v>
      </c>
      <c r="U791" s="17">
        <v>0.117908322945792</v>
      </c>
      <c r="V791" s="17">
        <v>7.1403796768852001E-2</v>
      </c>
      <c r="W791" s="17"/>
      <c r="X791" s="17">
        <v>4.1099932438487502E-2</v>
      </c>
      <c r="Y791" s="17">
        <v>0.162284525153642</v>
      </c>
    </row>
    <row r="792" spans="2:25" x14ac:dyDescent="0.35">
      <c r="B792" t="s">
        <v>324</v>
      </c>
      <c r="C792" s="17">
        <v>5.3981977623976697E-3</v>
      </c>
      <c r="D792" s="17">
        <v>3.1918629254172699E-3</v>
      </c>
      <c r="E792" s="17">
        <v>8.1002590598819903E-3</v>
      </c>
      <c r="F792" s="17"/>
      <c r="G792" s="17">
        <v>1.24759138523758E-2</v>
      </c>
      <c r="H792" s="17">
        <v>2.06904316714607E-3</v>
      </c>
      <c r="I792" s="17">
        <v>5.5499902784931004E-3</v>
      </c>
      <c r="J792" s="17">
        <v>5.40469408310572E-3</v>
      </c>
      <c r="K792" s="17">
        <v>8.0492011014261806E-3</v>
      </c>
      <c r="L792" s="17">
        <v>0</v>
      </c>
      <c r="M792" s="17"/>
      <c r="N792" s="17">
        <v>2.9288115313057299E-2</v>
      </c>
      <c r="O792" s="17">
        <v>0</v>
      </c>
      <c r="P792" s="17">
        <v>4.5524957715892302E-3</v>
      </c>
      <c r="Q792" s="17">
        <v>9.7707054998326208E-3</v>
      </c>
      <c r="R792" s="17">
        <v>6.3378724810816299E-3</v>
      </c>
      <c r="S792" s="17">
        <v>5.4149185283053798E-3</v>
      </c>
      <c r="T792" s="17">
        <v>3.1931207497381902E-3</v>
      </c>
      <c r="U792" s="17">
        <v>1.8892267916185801E-3</v>
      </c>
      <c r="V792" s="17">
        <v>0</v>
      </c>
      <c r="W792" s="17"/>
      <c r="X792" s="17">
        <v>6.5462482350798102E-4</v>
      </c>
      <c r="Y792" s="17">
        <v>9.2765810511738992E-3</v>
      </c>
    </row>
    <row r="793" spans="2:25" x14ac:dyDescent="0.35">
      <c r="C793" s="17"/>
      <c r="D793" s="17"/>
      <c r="E793" s="17"/>
      <c r="F793" s="17"/>
      <c r="G793" s="17"/>
      <c r="H793" s="17"/>
      <c r="I793" s="17"/>
      <c r="J793" s="17"/>
      <c r="K793" s="17"/>
      <c r="L793" s="17"/>
      <c r="M793" s="17"/>
      <c r="N793" s="17"/>
      <c r="O793" s="17"/>
      <c r="P793" s="17"/>
      <c r="Q793" s="17"/>
      <c r="R793" s="17"/>
      <c r="S793" s="17"/>
      <c r="T793" s="17"/>
      <c r="U793" s="17"/>
      <c r="V793" s="17"/>
      <c r="W793" s="17"/>
      <c r="X793" s="17"/>
      <c r="Y793" s="17"/>
    </row>
    <row r="794" spans="2:25" x14ac:dyDescent="0.35">
      <c r="B794" s="6" t="s">
        <v>328</v>
      </c>
      <c r="C794" s="17"/>
      <c r="D794" s="17"/>
      <c r="E794" s="17"/>
      <c r="F794" s="17"/>
      <c r="G794" s="17"/>
      <c r="H794" s="17"/>
      <c r="I794" s="17"/>
      <c r="J794" s="17"/>
      <c r="K794" s="17"/>
      <c r="L794" s="17"/>
      <c r="M794" s="17"/>
      <c r="N794" s="17"/>
      <c r="O794" s="17"/>
      <c r="P794" s="17"/>
      <c r="Q794" s="17"/>
      <c r="R794" s="17"/>
      <c r="S794" s="17"/>
      <c r="T794" s="17"/>
      <c r="U794" s="17"/>
      <c r="V794" s="17"/>
      <c r="W794" s="17"/>
      <c r="X794" s="17"/>
      <c r="Y794" s="17"/>
    </row>
    <row r="795" spans="2:25" x14ac:dyDescent="0.35">
      <c r="B795" s="24" t="s">
        <v>534</v>
      </c>
      <c r="C795" s="17"/>
      <c r="D795" s="17"/>
      <c r="E795" s="17"/>
      <c r="F795" s="17"/>
      <c r="G795" s="17"/>
      <c r="H795" s="17"/>
      <c r="I795" s="17"/>
      <c r="J795" s="17"/>
      <c r="K795" s="17"/>
      <c r="L795" s="17"/>
      <c r="M795" s="17"/>
      <c r="N795" s="17"/>
      <c r="O795" s="17"/>
      <c r="P795" s="17"/>
      <c r="Q795" s="17"/>
      <c r="R795" s="17"/>
      <c r="S795" s="17"/>
      <c r="T795" s="17"/>
      <c r="U795" s="17"/>
      <c r="V795" s="17"/>
      <c r="W795" s="17"/>
      <c r="X795" s="17"/>
      <c r="Y795" s="17"/>
    </row>
    <row r="796" spans="2:25" x14ac:dyDescent="0.35">
      <c r="B796" t="s">
        <v>321</v>
      </c>
      <c r="C796" s="17">
        <v>0.234149215298496</v>
      </c>
      <c r="D796" s="17">
        <v>0.232986701887267</v>
      </c>
      <c r="E796" s="17">
        <v>0.235089060581923</v>
      </c>
      <c r="F796" s="17"/>
      <c r="G796" s="17">
        <v>0.26762243497292398</v>
      </c>
      <c r="H796" s="17">
        <v>0.210097268262353</v>
      </c>
      <c r="I796" s="17">
        <v>0.24109001325018201</v>
      </c>
      <c r="J796" s="17">
        <v>0.21163059412420199</v>
      </c>
      <c r="K796" s="17">
        <v>0.24884139429524299</v>
      </c>
      <c r="L796" s="17">
        <v>0.314468754174061</v>
      </c>
      <c r="M796" s="17"/>
      <c r="N796" s="17">
        <v>0.13134491417109601</v>
      </c>
      <c r="O796" s="17">
        <v>0.22170498293403301</v>
      </c>
      <c r="P796" s="17">
        <v>0.22361892043252399</v>
      </c>
      <c r="Q796" s="17">
        <v>0.25959138693209599</v>
      </c>
      <c r="R796" s="17">
        <v>0.234522290326177</v>
      </c>
      <c r="S796" s="17">
        <v>0.27238104585301298</v>
      </c>
      <c r="T796" s="17">
        <v>0.17437689723071401</v>
      </c>
      <c r="U796" s="17">
        <v>0.27927253302760802</v>
      </c>
      <c r="V796" s="17">
        <v>0.21108887637408999</v>
      </c>
      <c r="W796" s="17"/>
      <c r="X796" s="17">
        <v>0.28215086396872102</v>
      </c>
      <c r="Y796" s="17">
        <v>0.19490268226639601</v>
      </c>
    </row>
    <row r="797" spans="2:25" x14ac:dyDescent="0.35">
      <c r="B797" t="s">
        <v>277</v>
      </c>
      <c r="C797" s="17">
        <v>0.38567957035178602</v>
      </c>
      <c r="D797" s="17">
        <v>0.40531404957244199</v>
      </c>
      <c r="E797" s="17">
        <v>0.36345585263961899</v>
      </c>
      <c r="F797" s="17"/>
      <c r="G797" s="17">
        <v>0.41083727267058601</v>
      </c>
      <c r="H797" s="17">
        <v>0.40251341617856001</v>
      </c>
      <c r="I797" s="17">
        <v>0.34737879382922299</v>
      </c>
      <c r="J797" s="17">
        <v>0.39358378291435397</v>
      </c>
      <c r="K797" s="17">
        <v>0.385312094188765</v>
      </c>
      <c r="L797" s="17">
        <v>0.42386402356643399</v>
      </c>
      <c r="M797" s="17"/>
      <c r="N797" s="17">
        <v>0.42233344140829199</v>
      </c>
      <c r="O797" s="17">
        <v>0.28566702491364399</v>
      </c>
      <c r="P797" s="17">
        <v>0.34109342864085601</v>
      </c>
      <c r="Q797" s="17">
        <v>0.33802062077348999</v>
      </c>
      <c r="R797" s="17">
        <v>0.455410896807799</v>
      </c>
      <c r="S797" s="17">
        <v>0.40786772620392298</v>
      </c>
      <c r="T797" s="17">
        <v>0.43704176539001199</v>
      </c>
      <c r="U797" s="17">
        <v>0.34732036401732602</v>
      </c>
      <c r="V797" s="17">
        <v>0.38074772085736502</v>
      </c>
      <c r="W797" s="17"/>
      <c r="X797" s="17">
        <v>0.38030244252343698</v>
      </c>
      <c r="Y797" s="17">
        <v>0.39007595320069499</v>
      </c>
    </row>
    <row r="798" spans="2:25" x14ac:dyDescent="0.35">
      <c r="B798" t="s">
        <v>322</v>
      </c>
      <c r="C798" s="17">
        <v>0.22118499600646599</v>
      </c>
      <c r="D798" s="17">
        <v>0.22433289688180599</v>
      </c>
      <c r="E798" s="17">
        <v>0.215972281196355</v>
      </c>
      <c r="F798" s="17"/>
      <c r="G798" s="17">
        <v>0.214023983507488</v>
      </c>
      <c r="H798" s="17">
        <v>0.24891669029365501</v>
      </c>
      <c r="I798" s="17">
        <v>0.25346222657105399</v>
      </c>
      <c r="J798" s="17">
        <v>0.20311797082244401</v>
      </c>
      <c r="K798" s="17">
        <v>0.19602624618564199</v>
      </c>
      <c r="L798" s="17">
        <v>0.12752409914407201</v>
      </c>
      <c r="M798" s="17"/>
      <c r="N798" s="17">
        <v>0.31851527810289998</v>
      </c>
      <c r="O798" s="17">
        <v>0.31854370454206299</v>
      </c>
      <c r="P798" s="17">
        <v>0.197954805213711</v>
      </c>
      <c r="Q798" s="17">
        <v>0.228110610774129</v>
      </c>
      <c r="R798" s="17">
        <v>0.188033318290034</v>
      </c>
      <c r="S798" s="17">
        <v>0.18867624972831901</v>
      </c>
      <c r="T798" s="17">
        <v>0.26560593461294701</v>
      </c>
      <c r="U798" s="17">
        <v>0.194851113682359</v>
      </c>
      <c r="V798" s="17">
        <v>0.25882285002157701</v>
      </c>
      <c r="W798" s="17"/>
      <c r="X798" s="17">
        <v>0.231744903290374</v>
      </c>
      <c r="Y798" s="17">
        <v>0.212551131097345</v>
      </c>
    </row>
    <row r="799" spans="2:25" x14ac:dyDescent="0.35">
      <c r="B799" t="s">
        <v>323</v>
      </c>
      <c r="C799" s="17">
        <v>0.156394226559607</v>
      </c>
      <c r="D799" s="17">
        <v>0.13473730067299999</v>
      </c>
      <c r="E799" s="17">
        <v>0.18292184746765799</v>
      </c>
      <c r="F799" s="17"/>
      <c r="G799" s="17">
        <v>9.8462492348297501E-2</v>
      </c>
      <c r="H799" s="17">
        <v>0.13751632453139501</v>
      </c>
      <c r="I799" s="17">
        <v>0.155776880502667</v>
      </c>
      <c r="J799" s="17">
        <v>0.189810735687685</v>
      </c>
      <c r="K799" s="17">
        <v>0.165638366894132</v>
      </c>
      <c r="L799" s="17">
        <v>0.134143123115433</v>
      </c>
      <c r="M799" s="17"/>
      <c r="N799" s="17">
        <v>0.127806366317712</v>
      </c>
      <c r="O799" s="17">
        <v>0.17408428761026001</v>
      </c>
      <c r="P799" s="17">
        <v>0.23278034994131899</v>
      </c>
      <c r="Q799" s="17">
        <v>0.166106505861498</v>
      </c>
      <c r="R799" s="17">
        <v>0.12203349457599</v>
      </c>
      <c r="S799" s="17">
        <v>0.12948787422196401</v>
      </c>
      <c r="T799" s="17">
        <v>0.122975402766327</v>
      </c>
      <c r="U799" s="17">
        <v>0.17710736392906601</v>
      </c>
      <c r="V799" s="17">
        <v>0.144930731039938</v>
      </c>
      <c r="W799" s="17"/>
      <c r="X799" s="17">
        <v>0.104184533528612</v>
      </c>
      <c r="Y799" s="17">
        <v>0.199081290418889</v>
      </c>
    </row>
    <row r="800" spans="2:25" x14ac:dyDescent="0.35">
      <c r="B800" t="s">
        <v>324</v>
      </c>
      <c r="C800" s="17">
        <v>2.59199178364503E-3</v>
      </c>
      <c r="D800" s="17">
        <v>2.6290509854851002E-3</v>
      </c>
      <c r="E800" s="17">
        <v>2.5609581144447999E-3</v>
      </c>
      <c r="F800" s="17"/>
      <c r="G800" s="17">
        <v>9.0538165007045795E-3</v>
      </c>
      <c r="H800" s="17">
        <v>9.5630073403659105E-4</v>
      </c>
      <c r="I800" s="17">
        <v>2.2920858468731902E-3</v>
      </c>
      <c r="J800" s="17">
        <v>1.8569164513152301E-3</v>
      </c>
      <c r="K800" s="17">
        <v>4.1818984362166998E-3</v>
      </c>
      <c r="L800" s="17">
        <v>0</v>
      </c>
      <c r="M800" s="17"/>
      <c r="N800" s="17">
        <v>0</v>
      </c>
      <c r="O800" s="17">
        <v>0</v>
      </c>
      <c r="P800" s="17">
        <v>4.5524957715892302E-3</v>
      </c>
      <c r="Q800" s="17">
        <v>8.1708756587863703E-3</v>
      </c>
      <c r="R800" s="17">
        <v>0</v>
      </c>
      <c r="S800" s="17">
        <v>1.58710399278129E-3</v>
      </c>
      <c r="T800" s="17">
        <v>0</v>
      </c>
      <c r="U800" s="17">
        <v>1.44862534364126E-3</v>
      </c>
      <c r="V800" s="17">
        <v>4.4098217070299298E-3</v>
      </c>
      <c r="W800" s="17"/>
      <c r="X800" s="17">
        <v>1.6172566888552899E-3</v>
      </c>
      <c r="Y800" s="17">
        <v>3.3889430166751098E-3</v>
      </c>
    </row>
    <row r="801" spans="2:25" x14ac:dyDescent="0.35">
      <c r="C801" s="17"/>
      <c r="D801" s="17"/>
      <c r="E801" s="17"/>
      <c r="F801" s="17"/>
      <c r="G801" s="17"/>
      <c r="H801" s="17"/>
      <c r="I801" s="17"/>
      <c r="J801" s="17"/>
      <c r="K801" s="17"/>
      <c r="L801" s="17"/>
      <c r="M801" s="17"/>
      <c r="N801" s="17"/>
      <c r="O801" s="17"/>
      <c r="P801" s="17"/>
      <c r="Q801" s="17"/>
      <c r="R801" s="17"/>
      <c r="S801" s="17"/>
      <c r="T801" s="17"/>
      <c r="U801" s="17"/>
      <c r="V801" s="17"/>
      <c r="W801" s="17"/>
      <c r="X801" s="17"/>
      <c r="Y801" s="17"/>
    </row>
    <row r="802" spans="2:25" x14ac:dyDescent="0.35">
      <c r="B802" s="6" t="s">
        <v>329</v>
      </c>
      <c r="C802" s="17"/>
      <c r="D802" s="17"/>
      <c r="E802" s="17"/>
      <c r="F802" s="17"/>
      <c r="G802" s="17"/>
      <c r="H802" s="17"/>
      <c r="I802" s="17"/>
      <c r="J802" s="17"/>
      <c r="K802" s="17"/>
      <c r="L802" s="17"/>
      <c r="M802" s="17"/>
      <c r="N802" s="17"/>
      <c r="O802" s="17"/>
      <c r="P802" s="17"/>
      <c r="Q802" s="17"/>
      <c r="R802" s="17"/>
      <c r="S802" s="17"/>
      <c r="T802" s="17"/>
      <c r="U802" s="17"/>
      <c r="V802" s="17"/>
      <c r="W802" s="17"/>
      <c r="X802" s="17"/>
      <c r="Y802" s="17"/>
    </row>
    <row r="803" spans="2:25" x14ac:dyDescent="0.35">
      <c r="B803" s="24" t="s">
        <v>534</v>
      </c>
      <c r="C803" s="17"/>
      <c r="D803" s="17"/>
      <c r="E803" s="17"/>
      <c r="F803" s="17"/>
      <c r="G803" s="17"/>
      <c r="H803" s="17"/>
      <c r="I803" s="17"/>
      <c r="J803" s="17"/>
      <c r="K803" s="17"/>
      <c r="L803" s="17"/>
      <c r="M803" s="17"/>
      <c r="N803" s="17"/>
      <c r="O803" s="17"/>
      <c r="P803" s="17"/>
      <c r="Q803" s="17"/>
      <c r="R803" s="17"/>
      <c r="S803" s="17"/>
      <c r="T803" s="17"/>
      <c r="U803" s="17"/>
      <c r="V803" s="17"/>
      <c r="W803" s="17"/>
      <c r="X803" s="17"/>
      <c r="Y803" s="17"/>
    </row>
    <row r="804" spans="2:25" x14ac:dyDescent="0.35">
      <c r="B804" t="s">
        <v>321</v>
      </c>
      <c r="C804" s="17">
        <v>0.104670559907742</v>
      </c>
      <c r="D804" s="17">
        <v>0.102661795916966</v>
      </c>
      <c r="E804" s="17">
        <v>0.10653339215785899</v>
      </c>
      <c r="F804" s="17"/>
      <c r="G804" s="17">
        <v>0.17314738183109701</v>
      </c>
      <c r="H804" s="17">
        <v>0.138060269698906</v>
      </c>
      <c r="I804" s="17">
        <v>0.102379163979279</v>
      </c>
      <c r="J804" s="17">
        <v>8.3053095702683696E-2</v>
      </c>
      <c r="K804" s="17">
        <v>6.74942638227643E-2</v>
      </c>
      <c r="L804" s="17">
        <v>0.102052052952479</v>
      </c>
      <c r="M804" s="17"/>
      <c r="N804" s="17">
        <v>8.1318555475758905E-2</v>
      </c>
      <c r="O804" s="17">
        <v>9.0560073762204693E-2</v>
      </c>
      <c r="P804" s="17">
        <v>9.2283601425478604E-2</v>
      </c>
      <c r="Q804" s="17">
        <v>8.2976065261579399E-2</v>
      </c>
      <c r="R804" s="17">
        <v>0.10688858201179501</v>
      </c>
      <c r="S804" s="17">
        <v>0.10057103193769699</v>
      </c>
      <c r="T804" s="17">
        <v>9.7567417930623804E-2</v>
      </c>
      <c r="U804" s="17">
        <v>0.15358483475978901</v>
      </c>
      <c r="V804" s="17">
        <v>0.112216521447737</v>
      </c>
      <c r="W804" s="17"/>
      <c r="X804" s="17">
        <v>0.12738239333922499</v>
      </c>
      <c r="Y804" s="17">
        <v>8.6101182695054901E-2</v>
      </c>
    </row>
    <row r="805" spans="2:25" x14ac:dyDescent="0.35">
      <c r="B805" t="s">
        <v>277</v>
      </c>
      <c r="C805" s="17">
        <v>0.237091265846188</v>
      </c>
      <c r="D805" s="17">
        <v>0.238195800690544</v>
      </c>
      <c r="E805" s="17">
        <v>0.23702144461079799</v>
      </c>
      <c r="F805" s="17"/>
      <c r="G805" s="17">
        <v>0.27241812690204198</v>
      </c>
      <c r="H805" s="17">
        <v>0.25730479484623597</v>
      </c>
      <c r="I805" s="17">
        <v>0.25397437425286001</v>
      </c>
      <c r="J805" s="17">
        <v>0.22234551025285701</v>
      </c>
      <c r="K805" s="17">
        <v>0.18560632982054101</v>
      </c>
      <c r="L805" s="17">
        <v>0.26342825543325699</v>
      </c>
      <c r="M805" s="17"/>
      <c r="N805" s="17">
        <v>0.261474262354006</v>
      </c>
      <c r="O805" s="17">
        <v>0.180916383053183</v>
      </c>
      <c r="P805" s="17">
        <v>0.24621257164504601</v>
      </c>
      <c r="Q805" s="17">
        <v>0.166128928860521</v>
      </c>
      <c r="R805" s="17">
        <v>0.249244558909609</v>
      </c>
      <c r="S805" s="17">
        <v>0.24078630135290699</v>
      </c>
      <c r="T805" s="17">
        <v>0.27803985337783399</v>
      </c>
      <c r="U805" s="17">
        <v>0.24896226892825399</v>
      </c>
      <c r="V805" s="17">
        <v>0.22791397704087801</v>
      </c>
      <c r="W805" s="17"/>
      <c r="X805" s="17">
        <v>0.26822624926869798</v>
      </c>
      <c r="Y805" s="17">
        <v>0.211635053628556</v>
      </c>
    </row>
    <row r="806" spans="2:25" x14ac:dyDescent="0.35">
      <c r="B806" t="s">
        <v>322</v>
      </c>
      <c r="C806" s="17">
        <v>0.33280119118559498</v>
      </c>
      <c r="D806" s="17">
        <v>0.34387544743849802</v>
      </c>
      <c r="E806" s="17">
        <v>0.31867911053838999</v>
      </c>
      <c r="F806" s="17"/>
      <c r="G806" s="17">
        <v>0.323785547114877</v>
      </c>
      <c r="H806" s="17">
        <v>0.31249973874100501</v>
      </c>
      <c r="I806" s="17">
        <v>0.32171316533759398</v>
      </c>
      <c r="J806" s="17">
        <v>0.33630530048583801</v>
      </c>
      <c r="K806" s="17">
        <v>0.365906930075799</v>
      </c>
      <c r="L806" s="17">
        <v>0.35756940725866199</v>
      </c>
      <c r="M806" s="17"/>
      <c r="N806" s="17">
        <v>0.30642193702363202</v>
      </c>
      <c r="O806" s="17">
        <v>0.36678485864002902</v>
      </c>
      <c r="P806" s="17">
        <v>0.27117534608112498</v>
      </c>
      <c r="Q806" s="17">
        <v>0.35131221159012299</v>
      </c>
      <c r="R806" s="17">
        <v>0.40021117597675698</v>
      </c>
      <c r="S806" s="17">
        <v>0.34529818480999203</v>
      </c>
      <c r="T806" s="17">
        <v>0.35605677036815497</v>
      </c>
      <c r="U806" s="17">
        <v>0.27126674708209297</v>
      </c>
      <c r="V806" s="17">
        <v>0.33844534176283197</v>
      </c>
      <c r="W806" s="17"/>
      <c r="X806" s="17">
        <v>0.33901229660929499</v>
      </c>
      <c r="Y806" s="17">
        <v>0.32772294156438397</v>
      </c>
    </row>
    <row r="807" spans="2:25" x14ac:dyDescent="0.35">
      <c r="B807" t="s">
        <v>323</v>
      </c>
      <c r="C807" s="17">
        <v>0.321405028281115</v>
      </c>
      <c r="D807" s="17">
        <v>0.31150989124415801</v>
      </c>
      <c r="E807" s="17">
        <v>0.33337947210699598</v>
      </c>
      <c r="F807" s="17"/>
      <c r="G807" s="17">
        <v>0.21234102624888601</v>
      </c>
      <c r="H807" s="17">
        <v>0.28933203067586999</v>
      </c>
      <c r="I807" s="17">
        <v>0.31623935492760202</v>
      </c>
      <c r="J807" s="17">
        <v>0.35735704342318703</v>
      </c>
      <c r="K807" s="17">
        <v>0.37821084509768499</v>
      </c>
      <c r="L807" s="17">
        <v>0.27695028435560198</v>
      </c>
      <c r="M807" s="17"/>
      <c r="N807" s="17">
        <v>0.342508172394137</v>
      </c>
      <c r="O807" s="17">
        <v>0.36173868454458302</v>
      </c>
      <c r="P807" s="17">
        <v>0.38377820204653401</v>
      </c>
      <c r="Q807" s="17">
        <v>0.38660382459480802</v>
      </c>
      <c r="R807" s="17">
        <v>0.24365568310183799</v>
      </c>
      <c r="S807" s="17">
        <v>0.31175767896046203</v>
      </c>
      <c r="T807" s="17">
        <v>0.26833595832338702</v>
      </c>
      <c r="U807" s="17">
        <v>0.32339358801563201</v>
      </c>
      <c r="V807" s="17">
        <v>0.31701433804152401</v>
      </c>
      <c r="W807" s="17"/>
      <c r="X807" s="17">
        <v>0.26378727913769601</v>
      </c>
      <c r="Y807" s="17">
        <v>0.368513762202479</v>
      </c>
    </row>
    <row r="808" spans="2:25" x14ac:dyDescent="0.35">
      <c r="B808" t="s">
        <v>324</v>
      </c>
      <c r="C808" s="17">
        <v>4.0319547793607902E-3</v>
      </c>
      <c r="D808" s="17">
        <v>3.7570647098345402E-3</v>
      </c>
      <c r="E808" s="17">
        <v>4.3865805859569004E-3</v>
      </c>
      <c r="F808" s="17"/>
      <c r="G808" s="17">
        <v>1.8307917903097898E-2</v>
      </c>
      <c r="H808" s="17">
        <v>2.8031660379819901E-3</v>
      </c>
      <c r="I808" s="17">
        <v>5.69394150266519E-3</v>
      </c>
      <c r="J808" s="17">
        <v>9.3905013543472201E-4</v>
      </c>
      <c r="K808" s="17">
        <v>2.7816311832101902E-3</v>
      </c>
      <c r="L808" s="17">
        <v>0</v>
      </c>
      <c r="M808" s="17"/>
      <c r="N808" s="17">
        <v>8.2770727524654492E-3</v>
      </c>
      <c r="O808" s="17">
        <v>0</v>
      </c>
      <c r="P808" s="17">
        <v>6.5502788018154002E-3</v>
      </c>
      <c r="Q808" s="17">
        <v>1.29789696929688E-2</v>
      </c>
      <c r="R808" s="17">
        <v>0</v>
      </c>
      <c r="S808" s="17">
        <v>1.5868029389419301E-3</v>
      </c>
      <c r="T808" s="17">
        <v>0</v>
      </c>
      <c r="U808" s="17">
        <v>2.7925612142326701E-3</v>
      </c>
      <c r="V808" s="17">
        <v>4.4098217070299298E-3</v>
      </c>
      <c r="W808" s="17"/>
      <c r="X808" s="17">
        <v>1.5917816450850999E-3</v>
      </c>
      <c r="Y808" s="17">
        <v>6.0270599095268197E-3</v>
      </c>
    </row>
    <row r="809" spans="2:25" x14ac:dyDescent="0.35">
      <c r="C809" s="17"/>
      <c r="D809" s="17"/>
      <c r="E809" s="17"/>
      <c r="F809" s="17"/>
      <c r="G809" s="17"/>
      <c r="H809" s="17"/>
      <c r="I809" s="17"/>
      <c r="J809" s="17"/>
      <c r="K809" s="17"/>
      <c r="L809" s="17"/>
      <c r="M809" s="17"/>
      <c r="N809" s="17"/>
      <c r="O809" s="17"/>
      <c r="P809" s="17"/>
      <c r="Q809" s="17"/>
      <c r="R809" s="17"/>
      <c r="S809" s="17"/>
      <c r="T809" s="17"/>
      <c r="U809" s="17"/>
      <c r="V809" s="17"/>
      <c r="W809" s="17"/>
      <c r="X809" s="17"/>
      <c r="Y809" s="17"/>
    </row>
    <row r="810" spans="2:25" x14ac:dyDescent="0.35">
      <c r="B810" s="6" t="s">
        <v>330</v>
      </c>
      <c r="C810" s="17"/>
      <c r="D810" s="17"/>
      <c r="E810" s="17"/>
      <c r="F810" s="17"/>
      <c r="G810" s="17"/>
      <c r="H810" s="17"/>
      <c r="I810" s="17"/>
      <c r="J810" s="17"/>
      <c r="K810" s="17"/>
      <c r="L810" s="17"/>
      <c r="M810" s="17"/>
      <c r="N810" s="17"/>
      <c r="O810" s="17"/>
      <c r="P810" s="17"/>
      <c r="Q810" s="17"/>
      <c r="R810" s="17"/>
      <c r="S810" s="17"/>
      <c r="T810" s="17"/>
      <c r="U810" s="17"/>
      <c r="V810" s="17"/>
      <c r="W810" s="17"/>
      <c r="X810" s="17"/>
      <c r="Y810" s="17"/>
    </row>
    <row r="811" spans="2:25" x14ac:dyDescent="0.35">
      <c r="B811" s="24" t="s">
        <v>534</v>
      </c>
      <c r="C811" s="17"/>
      <c r="D811" s="17"/>
      <c r="E811" s="17"/>
      <c r="F811" s="17"/>
      <c r="G811" s="17"/>
      <c r="H811" s="17"/>
      <c r="I811" s="17"/>
      <c r="J811" s="17"/>
      <c r="K811" s="17"/>
      <c r="L811" s="17"/>
      <c r="M811" s="17"/>
      <c r="N811" s="17"/>
      <c r="O811" s="17"/>
      <c r="P811" s="17"/>
      <c r="Q811" s="17"/>
      <c r="R811" s="17"/>
      <c r="S811" s="17"/>
      <c r="T811" s="17"/>
      <c r="U811" s="17"/>
      <c r="V811" s="17"/>
      <c r="W811" s="17"/>
      <c r="X811" s="17"/>
      <c r="Y811" s="17"/>
    </row>
    <row r="812" spans="2:25" x14ac:dyDescent="0.35">
      <c r="B812" t="s">
        <v>321</v>
      </c>
      <c r="C812" s="17">
        <v>0.14496084078206301</v>
      </c>
      <c r="D812" s="17">
        <v>0.160553043930491</v>
      </c>
      <c r="E812" s="17">
        <v>0.12571400445151701</v>
      </c>
      <c r="F812" s="17"/>
      <c r="G812" s="17">
        <v>0.12550339475609501</v>
      </c>
      <c r="H812" s="17">
        <v>0.15505729962501599</v>
      </c>
      <c r="I812" s="17">
        <v>0.175622143663729</v>
      </c>
      <c r="J812" s="17">
        <v>0.120743444819156</v>
      </c>
      <c r="K812" s="17">
        <v>0.128378213930711</v>
      </c>
      <c r="L812" s="17">
        <v>0.153193782726463</v>
      </c>
      <c r="M812" s="17"/>
      <c r="N812" s="17">
        <v>0.18820354659411001</v>
      </c>
      <c r="O812" s="17">
        <v>0.153951336223384</v>
      </c>
      <c r="P812" s="17">
        <v>0.16195532757773001</v>
      </c>
      <c r="Q812" s="17">
        <v>0.145006330298421</v>
      </c>
      <c r="R812" s="17">
        <v>9.5053242944535807E-2</v>
      </c>
      <c r="S812" s="17">
        <v>0.18540072476293001</v>
      </c>
      <c r="T812" s="17">
        <v>8.6071798615521805E-2</v>
      </c>
      <c r="U812" s="17">
        <v>0.182193379407253</v>
      </c>
      <c r="V812" s="17">
        <v>0.15725322291261701</v>
      </c>
      <c r="W812" s="17"/>
      <c r="X812" s="17">
        <v>0.21291053011663499</v>
      </c>
      <c r="Y812" s="17">
        <v>8.9404629675415598E-2</v>
      </c>
    </row>
    <row r="813" spans="2:25" x14ac:dyDescent="0.35">
      <c r="B813" t="s">
        <v>277</v>
      </c>
      <c r="C813" s="17">
        <v>0.30757724116058599</v>
      </c>
      <c r="D813" s="17">
        <v>0.31982591057846799</v>
      </c>
      <c r="E813" s="17">
        <v>0.293791974575771</v>
      </c>
      <c r="F813" s="17"/>
      <c r="G813" s="17">
        <v>0.33337796310721601</v>
      </c>
      <c r="H813" s="17">
        <v>0.32628603563553898</v>
      </c>
      <c r="I813" s="17">
        <v>0.31832193414055698</v>
      </c>
      <c r="J813" s="17">
        <v>0.30553969904137102</v>
      </c>
      <c r="K813" s="17">
        <v>0.27126677026234203</v>
      </c>
      <c r="L813" s="17">
        <v>0.27145212513366501</v>
      </c>
      <c r="M813" s="17"/>
      <c r="N813" s="17">
        <v>0.36431961611923902</v>
      </c>
      <c r="O813" s="17">
        <v>0.32361360158281099</v>
      </c>
      <c r="P813" s="17">
        <v>0.25383011256985499</v>
      </c>
      <c r="Q813" s="17">
        <v>0.30794686225441398</v>
      </c>
      <c r="R813" s="17">
        <v>0.30575937615961202</v>
      </c>
      <c r="S813" s="17">
        <v>0.33286064027594398</v>
      </c>
      <c r="T813" s="17">
        <v>0.31501909656334098</v>
      </c>
      <c r="U813" s="17">
        <v>0.30172218966009601</v>
      </c>
      <c r="V813" s="17">
        <v>0.32955340141480499</v>
      </c>
      <c r="W813" s="17"/>
      <c r="X813" s="17">
        <v>0.38909731714925899</v>
      </c>
      <c r="Y813" s="17">
        <v>0.24092577306104901</v>
      </c>
    </row>
    <row r="814" spans="2:25" x14ac:dyDescent="0.35">
      <c r="B814" t="s">
        <v>322</v>
      </c>
      <c r="C814" s="17">
        <v>0.274569049230728</v>
      </c>
      <c r="D814" s="17">
        <v>0.283077942165393</v>
      </c>
      <c r="E814" s="17">
        <v>0.26320855193070603</v>
      </c>
      <c r="F814" s="17"/>
      <c r="G814" s="17">
        <v>0.29468872151098702</v>
      </c>
      <c r="H814" s="17">
        <v>0.277945254181233</v>
      </c>
      <c r="I814" s="17">
        <v>0.246331875419386</v>
      </c>
      <c r="J814" s="17">
        <v>0.279647106593787</v>
      </c>
      <c r="K814" s="17">
        <v>0.29774932536586701</v>
      </c>
      <c r="L814" s="17">
        <v>0.26334649651068598</v>
      </c>
      <c r="M814" s="17"/>
      <c r="N814" s="17">
        <v>0.23725837228979901</v>
      </c>
      <c r="O814" s="17">
        <v>0.213986656604405</v>
      </c>
      <c r="P814" s="17">
        <v>0.28497570334801198</v>
      </c>
      <c r="Q814" s="17">
        <v>0.24736719798427401</v>
      </c>
      <c r="R814" s="17">
        <v>0.35839940631915101</v>
      </c>
      <c r="S814" s="17">
        <v>0.239890203776746</v>
      </c>
      <c r="T814" s="17">
        <v>0.30746440289433802</v>
      </c>
      <c r="U814" s="17">
        <v>0.26628500197576599</v>
      </c>
      <c r="V814" s="17">
        <v>0.20466007074116199</v>
      </c>
      <c r="W814" s="17"/>
      <c r="X814" s="17">
        <v>0.24016907885466399</v>
      </c>
      <c r="Y814" s="17">
        <v>0.30269474097399801</v>
      </c>
    </row>
    <row r="815" spans="2:25" x14ac:dyDescent="0.35">
      <c r="B815" t="s">
        <v>323</v>
      </c>
      <c r="C815" s="17">
        <v>0.26868125047437103</v>
      </c>
      <c r="D815" s="17">
        <v>0.232614894377774</v>
      </c>
      <c r="E815" s="17">
        <v>0.312707941720475</v>
      </c>
      <c r="F815" s="17"/>
      <c r="G815" s="17">
        <v>0.23278793887740301</v>
      </c>
      <c r="H815" s="17">
        <v>0.24071141055821199</v>
      </c>
      <c r="I815" s="17">
        <v>0.255170714903035</v>
      </c>
      <c r="J815" s="17">
        <v>0.29103481833635703</v>
      </c>
      <c r="K815" s="17">
        <v>0.29457082084457697</v>
      </c>
      <c r="L815" s="17">
        <v>0.31200759562918601</v>
      </c>
      <c r="M815" s="17"/>
      <c r="N815" s="17">
        <v>0.19933150903164801</v>
      </c>
      <c r="O815" s="17">
        <v>0.30844840558940001</v>
      </c>
      <c r="P815" s="17">
        <v>0.29075543193896303</v>
      </c>
      <c r="Q815" s="17">
        <v>0.286040630589321</v>
      </c>
      <c r="R815" s="17">
        <v>0.24078797457670101</v>
      </c>
      <c r="S815" s="17">
        <v>0.24184843118438001</v>
      </c>
      <c r="T815" s="17">
        <v>0.291444701926798</v>
      </c>
      <c r="U815" s="17">
        <v>0.24764621040802601</v>
      </c>
      <c r="V815" s="17">
        <v>0.30299060751302398</v>
      </c>
      <c r="W815" s="17"/>
      <c r="X815" s="17">
        <v>0.15721357576289899</v>
      </c>
      <c r="Y815" s="17">
        <v>0.359818115535607</v>
      </c>
    </row>
    <row r="816" spans="2:25" x14ac:dyDescent="0.35">
      <c r="B816" t="s">
        <v>324</v>
      </c>
      <c r="C816" s="17">
        <v>4.2116183522506899E-3</v>
      </c>
      <c r="D816" s="17">
        <v>3.9282089478741003E-3</v>
      </c>
      <c r="E816" s="17">
        <v>4.5775273215313697E-3</v>
      </c>
      <c r="F816" s="17"/>
      <c r="G816" s="17">
        <v>1.3641981748297999E-2</v>
      </c>
      <c r="H816" s="17">
        <v>0</v>
      </c>
      <c r="I816" s="17">
        <v>4.5533318732921503E-3</v>
      </c>
      <c r="J816" s="17">
        <v>3.0349312093290799E-3</v>
      </c>
      <c r="K816" s="17">
        <v>8.0348695965019104E-3</v>
      </c>
      <c r="L816" s="17">
        <v>0</v>
      </c>
      <c r="M816" s="17"/>
      <c r="N816" s="17">
        <v>1.0886955965202999E-2</v>
      </c>
      <c r="O816" s="17">
        <v>0</v>
      </c>
      <c r="P816" s="17">
        <v>8.4834245654389403E-3</v>
      </c>
      <c r="Q816" s="17">
        <v>1.3638978873569199E-2</v>
      </c>
      <c r="R816" s="17">
        <v>0</v>
      </c>
      <c r="S816" s="17">
        <v>0</v>
      </c>
      <c r="T816" s="17">
        <v>0</v>
      </c>
      <c r="U816" s="17">
        <v>2.15321854885832E-3</v>
      </c>
      <c r="V816" s="17">
        <v>5.5426974183923703E-3</v>
      </c>
      <c r="W816" s="17"/>
      <c r="X816" s="17">
        <v>6.0949811654432398E-4</v>
      </c>
      <c r="Y816" s="17">
        <v>7.15674075393051E-3</v>
      </c>
    </row>
    <row r="817" spans="2:25" x14ac:dyDescent="0.35">
      <c r="C817" s="17"/>
      <c r="D817" s="17"/>
      <c r="E817" s="17"/>
      <c r="F817" s="17"/>
      <c r="G817" s="17"/>
      <c r="H817" s="17"/>
      <c r="I817" s="17"/>
      <c r="J817" s="17"/>
      <c r="K817" s="17"/>
      <c r="L817" s="17"/>
      <c r="M817" s="17"/>
      <c r="N817" s="17"/>
      <c r="O817" s="17"/>
      <c r="P817" s="17"/>
      <c r="Q817" s="17"/>
      <c r="R817" s="17"/>
      <c r="S817" s="17"/>
      <c r="T817" s="17"/>
      <c r="U817" s="17"/>
      <c r="V817" s="17"/>
      <c r="W817" s="17"/>
      <c r="X817" s="17"/>
      <c r="Y817" s="17"/>
    </row>
    <row r="818" spans="2:25" x14ac:dyDescent="0.35">
      <c r="B818" s="6" t="s">
        <v>331</v>
      </c>
      <c r="C818" s="17"/>
      <c r="D818" s="17"/>
      <c r="E818" s="17"/>
      <c r="F818" s="17"/>
      <c r="G818" s="17"/>
      <c r="H818" s="17"/>
      <c r="I818" s="17"/>
      <c r="J818" s="17"/>
      <c r="K818" s="17"/>
      <c r="L818" s="17"/>
      <c r="M818" s="17"/>
      <c r="N818" s="17"/>
      <c r="O818" s="17"/>
      <c r="P818" s="17"/>
      <c r="Q818" s="17"/>
      <c r="R818" s="17"/>
      <c r="S818" s="17"/>
      <c r="T818" s="17"/>
      <c r="U818" s="17"/>
      <c r="V818" s="17"/>
      <c r="W818" s="17"/>
      <c r="X818" s="17"/>
      <c r="Y818" s="17"/>
    </row>
    <row r="819" spans="2:25" x14ac:dyDescent="0.35">
      <c r="B819" s="24" t="s">
        <v>534</v>
      </c>
      <c r="C819" s="17"/>
      <c r="D819" s="17"/>
      <c r="E819" s="17"/>
      <c r="F819" s="17"/>
      <c r="G819" s="17"/>
      <c r="H819" s="17"/>
      <c r="I819" s="17"/>
      <c r="J819" s="17"/>
      <c r="K819" s="17"/>
      <c r="L819" s="17"/>
      <c r="M819" s="17"/>
      <c r="N819" s="17"/>
      <c r="O819" s="17"/>
      <c r="P819" s="17"/>
      <c r="Q819" s="17"/>
      <c r="R819" s="17"/>
      <c r="S819" s="17"/>
      <c r="T819" s="17"/>
      <c r="U819" s="17"/>
      <c r="V819" s="17"/>
      <c r="W819" s="17"/>
      <c r="X819" s="17"/>
      <c r="Y819" s="17"/>
    </row>
    <row r="820" spans="2:25" x14ac:dyDescent="0.35">
      <c r="B820" t="s">
        <v>321</v>
      </c>
      <c r="C820" s="17">
        <v>0.45888381376235499</v>
      </c>
      <c r="D820" s="17">
        <v>0.45024846671246099</v>
      </c>
      <c r="E820" s="17">
        <v>0.46951998199020201</v>
      </c>
      <c r="F820" s="17"/>
      <c r="G820" s="17">
        <v>0.39407562702198901</v>
      </c>
      <c r="H820" s="17">
        <v>0.45802062107971198</v>
      </c>
      <c r="I820" s="17">
        <v>0.45920504578393401</v>
      </c>
      <c r="J820" s="17">
        <v>0.45103929179163998</v>
      </c>
      <c r="K820" s="17">
        <v>0.48147192053437698</v>
      </c>
      <c r="L820" s="17">
        <v>0.51355705742456603</v>
      </c>
      <c r="M820" s="17"/>
      <c r="N820" s="17">
        <v>0.42461956964660402</v>
      </c>
      <c r="O820" s="17">
        <v>0.42790458351902</v>
      </c>
      <c r="P820" s="17">
        <v>0.41365912594902599</v>
      </c>
      <c r="Q820" s="17">
        <v>0.48299690514112797</v>
      </c>
      <c r="R820" s="17">
        <v>0.45090280818067102</v>
      </c>
      <c r="S820" s="17">
        <v>0.48899892186435301</v>
      </c>
      <c r="T820" s="17">
        <v>0.39620253219722201</v>
      </c>
      <c r="U820" s="17">
        <v>0.54871258090853303</v>
      </c>
      <c r="V820" s="17">
        <v>0.43264755554706702</v>
      </c>
      <c r="W820" s="17"/>
      <c r="X820" s="17">
        <v>0.58278435858422994</v>
      </c>
      <c r="Y820" s="17">
        <v>0.35758173435975399</v>
      </c>
    </row>
    <row r="821" spans="2:25" x14ac:dyDescent="0.35">
      <c r="B821" t="s">
        <v>277</v>
      </c>
      <c r="C821" s="17">
        <v>0.34757167570545999</v>
      </c>
      <c r="D821" s="17">
        <v>0.35664189825299097</v>
      </c>
      <c r="E821" s="17">
        <v>0.337143541224739</v>
      </c>
      <c r="F821" s="17"/>
      <c r="G821" s="17">
        <v>0.38293822089755503</v>
      </c>
      <c r="H821" s="17">
        <v>0.37216338284001999</v>
      </c>
      <c r="I821" s="17">
        <v>0.35263227809623698</v>
      </c>
      <c r="J821" s="17">
        <v>0.33576923801325398</v>
      </c>
      <c r="K821" s="17">
        <v>0.31519611800917402</v>
      </c>
      <c r="L821" s="17">
        <v>0.33230101093145697</v>
      </c>
      <c r="M821" s="17"/>
      <c r="N821" s="17">
        <v>0.35332582894846598</v>
      </c>
      <c r="O821" s="17">
        <v>0.29299342235331099</v>
      </c>
      <c r="P821" s="17">
        <v>0.36416078895451998</v>
      </c>
      <c r="Q821" s="17">
        <v>0.32891019399307497</v>
      </c>
      <c r="R821" s="17">
        <v>0.40612328109547202</v>
      </c>
      <c r="S821" s="17">
        <v>0.29974655626541802</v>
      </c>
      <c r="T821" s="17">
        <v>0.41544316280939703</v>
      </c>
      <c r="U821" s="17">
        <v>0.263506669951941</v>
      </c>
      <c r="V821" s="17">
        <v>0.38763705539227</v>
      </c>
      <c r="W821" s="17"/>
      <c r="X821" s="17">
        <v>0.33396503866398902</v>
      </c>
      <c r="Y821" s="17">
        <v>0.35869657130587101</v>
      </c>
    </row>
    <row r="822" spans="2:25" x14ac:dyDescent="0.35">
      <c r="B822" t="s">
        <v>322</v>
      </c>
      <c r="C822" s="17">
        <v>8.6780860535182094E-2</v>
      </c>
      <c r="D822" s="17">
        <v>9.2471482882878403E-2</v>
      </c>
      <c r="E822" s="17">
        <v>7.9128506074575E-2</v>
      </c>
      <c r="F822" s="17"/>
      <c r="G822" s="17">
        <v>0.120561798605612</v>
      </c>
      <c r="H822" s="17">
        <v>8.0450284768446595E-2</v>
      </c>
      <c r="I822" s="17">
        <v>8.0982411529150006E-2</v>
      </c>
      <c r="J822" s="17">
        <v>0.10044085744035899</v>
      </c>
      <c r="K822" s="17">
        <v>7.4133819275506094E-2</v>
      </c>
      <c r="L822" s="17">
        <v>7.2386234661507107E-2</v>
      </c>
      <c r="M822" s="17"/>
      <c r="N822" s="17">
        <v>0.112214031300347</v>
      </c>
      <c r="O822" s="17">
        <v>0.17631497384734399</v>
      </c>
      <c r="P822" s="17">
        <v>9.5695816626214E-2</v>
      </c>
      <c r="Q822" s="17">
        <v>8.7907377482740606E-2</v>
      </c>
      <c r="R822" s="17">
        <v>6.3588296814288695E-2</v>
      </c>
      <c r="S822" s="17">
        <v>9.3678166082036496E-2</v>
      </c>
      <c r="T822" s="17">
        <v>7.3979743251107205E-2</v>
      </c>
      <c r="U822" s="17">
        <v>7.9624127615554E-2</v>
      </c>
      <c r="V822" s="17">
        <v>9.6375902472224606E-2</v>
      </c>
      <c r="W822" s="17"/>
      <c r="X822" s="17">
        <v>5.0219700900630299E-2</v>
      </c>
      <c r="Y822" s="17">
        <v>0.116673557953706</v>
      </c>
    </row>
    <row r="823" spans="2:25" x14ac:dyDescent="0.35">
      <c r="B823" t="s">
        <v>323</v>
      </c>
      <c r="C823" s="17">
        <v>0.100975929240984</v>
      </c>
      <c r="D823" s="17">
        <v>9.4329230093969693E-2</v>
      </c>
      <c r="E823" s="17">
        <v>0.109020770117383</v>
      </c>
      <c r="F823" s="17"/>
      <c r="G823" s="17">
        <v>8.9747010903264202E-2</v>
      </c>
      <c r="H823" s="17">
        <v>8.5495068744497693E-2</v>
      </c>
      <c r="I823" s="17">
        <v>0.102378468575349</v>
      </c>
      <c r="J823" s="17">
        <v>0.106510717038652</v>
      </c>
      <c r="K823" s="17">
        <v>0.121389363604284</v>
      </c>
      <c r="L823" s="17">
        <v>8.1755696982469706E-2</v>
      </c>
      <c r="M823" s="17"/>
      <c r="N823" s="17">
        <v>0.101563497352118</v>
      </c>
      <c r="O823" s="17">
        <v>9.3738223970059695E-2</v>
      </c>
      <c r="P823" s="17">
        <v>0.113966733183001</v>
      </c>
      <c r="Q823" s="17">
        <v>9.20965061079905E-2</v>
      </c>
      <c r="R823" s="17">
        <v>7.9385613909568095E-2</v>
      </c>
      <c r="S823" s="17">
        <v>0.11437005231654</v>
      </c>
      <c r="T823" s="17">
        <v>0.110727454140232</v>
      </c>
      <c r="U823" s="17">
        <v>0.10151182016068599</v>
      </c>
      <c r="V823" s="17">
        <v>7.8929664881408304E-2</v>
      </c>
      <c r="W823" s="17"/>
      <c r="X823" s="17">
        <v>3.05112434104053E-2</v>
      </c>
      <c r="Y823" s="17">
        <v>0.15858842165859899</v>
      </c>
    </row>
    <row r="824" spans="2:25" x14ac:dyDescent="0.35">
      <c r="B824" t="s">
        <v>324</v>
      </c>
      <c r="C824" s="17">
        <v>5.7877207560190699E-3</v>
      </c>
      <c r="D824" s="17">
        <v>6.3089220576994804E-3</v>
      </c>
      <c r="E824" s="17">
        <v>5.1872005931007702E-3</v>
      </c>
      <c r="F824" s="17"/>
      <c r="G824" s="17">
        <v>1.2677342571579301E-2</v>
      </c>
      <c r="H824" s="17">
        <v>3.87064256732381E-3</v>
      </c>
      <c r="I824" s="17">
        <v>4.8017960153297198E-3</v>
      </c>
      <c r="J824" s="17">
        <v>6.2398957160956104E-3</v>
      </c>
      <c r="K824" s="17">
        <v>7.8087785766581402E-3</v>
      </c>
      <c r="L824" s="17">
        <v>0</v>
      </c>
      <c r="M824" s="17"/>
      <c r="N824" s="17">
        <v>8.2770727524654492E-3</v>
      </c>
      <c r="O824" s="17">
        <v>9.0487963102646105E-3</v>
      </c>
      <c r="P824" s="17">
        <v>1.2517535287239701E-2</v>
      </c>
      <c r="Q824" s="17">
        <v>8.08901727506596E-3</v>
      </c>
      <c r="R824" s="17">
        <v>0</v>
      </c>
      <c r="S824" s="17">
        <v>3.2063034716524898E-3</v>
      </c>
      <c r="T824" s="17">
        <v>3.6471076020426099E-3</v>
      </c>
      <c r="U824" s="17">
        <v>6.6448013632861803E-3</v>
      </c>
      <c r="V824" s="17">
        <v>4.4098217070299298E-3</v>
      </c>
      <c r="W824" s="17"/>
      <c r="X824" s="17">
        <v>2.51965844074556E-3</v>
      </c>
      <c r="Y824" s="17">
        <v>8.4597147220700792E-3</v>
      </c>
    </row>
    <row r="825" spans="2:25" x14ac:dyDescent="0.35">
      <c r="C825" s="17"/>
      <c r="D825" s="17"/>
      <c r="E825" s="17"/>
      <c r="F825" s="17"/>
      <c r="G825" s="17"/>
      <c r="H825" s="17"/>
      <c r="I825" s="17"/>
      <c r="J825" s="17"/>
      <c r="K825" s="17"/>
      <c r="L825" s="17"/>
      <c r="M825" s="17"/>
      <c r="N825" s="17"/>
      <c r="O825" s="17"/>
      <c r="P825" s="17"/>
      <c r="Q825" s="17"/>
      <c r="R825" s="17"/>
      <c r="S825" s="17"/>
      <c r="T825" s="17"/>
      <c r="U825" s="17"/>
      <c r="V825" s="17"/>
      <c r="W825" s="17"/>
      <c r="X825" s="17"/>
      <c r="Y825" s="17"/>
    </row>
    <row r="826" spans="2:25" x14ac:dyDescent="0.35">
      <c r="B826" s="6" t="s">
        <v>332</v>
      </c>
      <c r="C826" s="17"/>
      <c r="D826" s="17"/>
      <c r="E826" s="17"/>
      <c r="F826" s="17"/>
      <c r="G826" s="17"/>
      <c r="H826" s="17"/>
      <c r="I826" s="17"/>
      <c r="J826" s="17"/>
      <c r="K826" s="17"/>
      <c r="L826" s="17"/>
      <c r="M826" s="17"/>
      <c r="N826" s="17"/>
      <c r="O826" s="17"/>
      <c r="P826" s="17"/>
      <c r="Q826" s="17"/>
      <c r="R826" s="17"/>
      <c r="S826" s="17"/>
      <c r="T826" s="17"/>
      <c r="U826" s="17"/>
      <c r="V826" s="17"/>
      <c r="W826" s="17"/>
      <c r="X826" s="17"/>
      <c r="Y826" s="17"/>
    </row>
    <row r="827" spans="2:25" x14ac:dyDescent="0.35">
      <c r="B827" s="24" t="s">
        <v>534</v>
      </c>
      <c r="C827" s="17"/>
      <c r="D827" s="17"/>
      <c r="E827" s="17"/>
      <c r="F827" s="17"/>
      <c r="G827" s="17"/>
      <c r="H827" s="17"/>
      <c r="I827" s="17"/>
      <c r="J827" s="17"/>
      <c r="K827" s="17"/>
      <c r="L827" s="17"/>
      <c r="M827" s="17"/>
      <c r="N827" s="17"/>
      <c r="O827" s="17"/>
      <c r="P827" s="17"/>
      <c r="Q827" s="17"/>
      <c r="R827" s="17"/>
      <c r="S827" s="17"/>
      <c r="T827" s="17"/>
      <c r="U827" s="17"/>
      <c r="V827" s="17"/>
      <c r="W827" s="17"/>
      <c r="X827" s="17"/>
      <c r="Y827" s="17"/>
    </row>
    <row r="828" spans="2:25" x14ac:dyDescent="0.35">
      <c r="B828" t="s">
        <v>321</v>
      </c>
      <c r="C828" s="17">
        <v>0.26051112761013501</v>
      </c>
      <c r="D828" s="17">
        <v>0.27844180370655103</v>
      </c>
      <c r="E828" s="17">
        <v>0.23909081260111401</v>
      </c>
      <c r="F828" s="17"/>
      <c r="G828" s="17">
        <v>0.24347561736501</v>
      </c>
      <c r="H828" s="17">
        <v>0.25785970102727701</v>
      </c>
      <c r="I828" s="17">
        <v>0.27331846816552902</v>
      </c>
      <c r="J828" s="17">
        <v>0.25461271257861101</v>
      </c>
      <c r="K828" s="17">
        <v>0.251110802487993</v>
      </c>
      <c r="L828" s="17">
        <v>0.29498496275252201</v>
      </c>
      <c r="M828" s="17"/>
      <c r="N828" s="17">
        <v>0.25829374277871803</v>
      </c>
      <c r="O828" s="17">
        <v>0.24373848137932699</v>
      </c>
      <c r="P828" s="17">
        <v>0.24855335031794501</v>
      </c>
      <c r="Q828" s="17">
        <v>0.23797387659233499</v>
      </c>
      <c r="R828" s="17">
        <v>0.29098030901390898</v>
      </c>
      <c r="S828" s="17">
        <v>0.230122698557989</v>
      </c>
      <c r="T828" s="17">
        <v>0.229861369527184</v>
      </c>
      <c r="U828" s="17">
        <v>0.36655770075947802</v>
      </c>
      <c r="V828" s="17">
        <v>0.19703717209882701</v>
      </c>
      <c r="W828" s="17"/>
      <c r="X828" s="17">
        <v>0.35950110731684698</v>
      </c>
      <c r="Y828" s="17">
        <v>0.179576126083485</v>
      </c>
    </row>
    <row r="829" spans="2:25" x14ac:dyDescent="0.35">
      <c r="B829" t="s">
        <v>277</v>
      </c>
      <c r="C829" s="17">
        <v>0.32722377317458701</v>
      </c>
      <c r="D829" s="17">
        <v>0.33590028779305198</v>
      </c>
      <c r="E829" s="17">
        <v>0.31778922732130199</v>
      </c>
      <c r="F829" s="17"/>
      <c r="G829" s="17">
        <v>0.34765588611475601</v>
      </c>
      <c r="H829" s="17">
        <v>0.35400887967710098</v>
      </c>
      <c r="I829" s="17">
        <v>0.34343260045145702</v>
      </c>
      <c r="J829" s="17">
        <v>0.31396385213494898</v>
      </c>
      <c r="K829" s="17">
        <v>0.29079118224031603</v>
      </c>
      <c r="L829" s="17">
        <v>0.29102530864210302</v>
      </c>
      <c r="M829" s="17"/>
      <c r="N829" s="17">
        <v>0.31017602899248697</v>
      </c>
      <c r="O829" s="17">
        <v>0.224919425210694</v>
      </c>
      <c r="P829" s="17">
        <v>0.29025361036167702</v>
      </c>
      <c r="Q829" s="17">
        <v>0.28716707777571399</v>
      </c>
      <c r="R829" s="17">
        <v>0.39048708915437502</v>
      </c>
      <c r="S829" s="17">
        <v>0.31253406159209401</v>
      </c>
      <c r="T829" s="17">
        <v>0.374466772926629</v>
      </c>
      <c r="U829" s="17">
        <v>0.31888788728884099</v>
      </c>
      <c r="V829" s="17">
        <v>0.35764218960702598</v>
      </c>
      <c r="W829" s="17"/>
      <c r="X829" s="17">
        <v>0.36547178979981398</v>
      </c>
      <c r="Y829" s="17">
        <v>0.29595188794816601</v>
      </c>
    </row>
    <row r="830" spans="2:25" x14ac:dyDescent="0.35">
      <c r="B830" t="s">
        <v>322</v>
      </c>
      <c r="C830" s="17">
        <v>0.19545747609575201</v>
      </c>
      <c r="D830" s="17">
        <v>0.20273542008331699</v>
      </c>
      <c r="E830" s="17">
        <v>0.18527132251370601</v>
      </c>
      <c r="F830" s="17"/>
      <c r="G830" s="17">
        <v>0.19852029213713099</v>
      </c>
      <c r="H830" s="17">
        <v>0.21057168551282901</v>
      </c>
      <c r="I830" s="17">
        <v>0.182208277944233</v>
      </c>
      <c r="J830" s="17">
        <v>0.191244768081926</v>
      </c>
      <c r="K830" s="17">
        <v>0.19659258605205299</v>
      </c>
      <c r="L830" s="17">
        <v>0.20488709457615301</v>
      </c>
      <c r="M830" s="17"/>
      <c r="N830" s="17">
        <v>0.19236647151452599</v>
      </c>
      <c r="O830" s="17">
        <v>0.25923857295052699</v>
      </c>
      <c r="P830" s="17">
        <v>0.19904078309912401</v>
      </c>
      <c r="Q830" s="17">
        <v>0.22018000967515899</v>
      </c>
      <c r="R830" s="17">
        <v>0.19048292897187799</v>
      </c>
      <c r="S830" s="17">
        <v>0.19656167092396301</v>
      </c>
      <c r="T830" s="17">
        <v>0.19414920223909801</v>
      </c>
      <c r="U830" s="17">
        <v>0.14662473650284499</v>
      </c>
      <c r="V830" s="17">
        <v>0.22795206579180699</v>
      </c>
      <c r="W830" s="17"/>
      <c r="X830" s="17">
        <v>0.16331197105305401</v>
      </c>
      <c r="Y830" s="17">
        <v>0.22173989889666601</v>
      </c>
    </row>
    <row r="831" spans="2:25" x14ac:dyDescent="0.35">
      <c r="B831" t="s">
        <v>323</v>
      </c>
      <c r="C831" s="17">
        <v>0.209423951029444</v>
      </c>
      <c r="D831" s="17">
        <v>0.17812973759772899</v>
      </c>
      <c r="E831" s="17">
        <v>0.247286319520169</v>
      </c>
      <c r="F831" s="17"/>
      <c r="G831" s="17">
        <v>0.19741448324753999</v>
      </c>
      <c r="H831" s="17">
        <v>0.17109962850459201</v>
      </c>
      <c r="I831" s="17">
        <v>0.19763839303449199</v>
      </c>
      <c r="J831" s="17">
        <v>0.22839084942208199</v>
      </c>
      <c r="K831" s="17">
        <v>0.25362413374923598</v>
      </c>
      <c r="L831" s="17">
        <v>0.209102634029222</v>
      </c>
      <c r="M831" s="17"/>
      <c r="N831" s="17">
        <v>0.23916375671426901</v>
      </c>
      <c r="O831" s="17">
        <v>0.26283748559442399</v>
      </c>
      <c r="P831" s="17">
        <v>0.25156427613493298</v>
      </c>
      <c r="Q831" s="17">
        <v>0.248327273930981</v>
      </c>
      <c r="R831" s="17">
        <v>0.125299533616366</v>
      </c>
      <c r="S831" s="17">
        <v>0.24526571484854701</v>
      </c>
      <c r="T831" s="17">
        <v>0.196608944403946</v>
      </c>
      <c r="U831" s="17">
        <v>0.163842330320423</v>
      </c>
      <c r="V831" s="17">
        <v>0.208151650702044</v>
      </c>
      <c r="W831" s="17"/>
      <c r="X831" s="17">
        <v>0.109395761548474</v>
      </c>
      <c r="Y831" s="17">
        <v>0.29120780119626299</v>
      </c>
    </row>
    <row r="832" spans="2:25" x14ac:dyDescent="0.35">
      <c r="B832" t="s">
        <v>324</v>
      </c>
      <c r="C832" s="17">
        <v>7.3836720900827303E-3</v>
      </c>
      <c r="D832" s="17">
        <v>4.7927508193511001E-3</v>
      </c>
      <c r="E832" s="17">
        <v>1.05623180437097E-2</v>
      </c>
      <c r="F832" s="17"/>
      <c r="G832" s="17">
        <v>1.29337211355627E-2</v>
      </c>
      <c r="H832" s="17">
        <v>6.46010527820146E-3</v>
      </c>
      <c r="I832" s="17">
        <v>3.40226040428872E-3</v>
      </c>
      <c r="J832" s="17">
        <v>1.1787817782432E-2</v>
      </c>
      <c r="K832" s="17">
        <v>7.8812954704010497E-3</v>
      </c>
      <c r="L832" s="17">
        <v>0</v>
      </c>
      <c r="M832" s="17"/>
      <c r="N832" s="17">
        <v>0</v>
      </c>
      <c r="O832" s="17">
        <v>9.2660348650266799E-3</v>
      </c>
      <c r="P832" s="17">
        <v>1.05879800863214E-2</v>
      </c>
      <c r="Q832" s="17">
        <v>6.3517620258110499E-3</v>
      </c>
      <c r="R832" s="17">
        <v>2.7501392434717701E-3</v>
      </c>
      <c r="S832" s="17">
        <v>1.5515854077406899E-2</v>
      </c>
      <c r="T832" s="17">
        <v>4.9137109031421704E-3</v>
      </c>
      <c r="U832" s="17">
        <v>4.0873451284126599E-3</v>
      </c>
      <c r="V832" s="17">
        <v>9.2169218002957493E-3</v>
      </c>
      <c r="W832" s="17"/>
      <c r="X832" s="17">
        <v>2.3193702818103301E-3</v>
      </c>
      <c r="Y832" s="17">
        <v>1.15242858754207E-2</v>
      </c>
    </row>
    <row r="833" spans="2:25" x14ac:dyDescent="0.35">
      <c r="C833" s="17"/>
      <c r="D833" s="17"/>
      <c r="E833" s="17"/>
      <c r="F833" s="17"/>
      <c r="G833" s="17"/>
      <c r="H833" s="17"/>
      <c r="I833" s="17"/>
      <c r="J833" s="17"/>
      <c r="K833" s="17"/>
      <c r="L833" s="17"/>
      <c r="M833" s="17"/>
      <c r="N833" s="17"/>
      <c r="O833" s="17"/>
      <c r="P833" s="17"/>
      <c r="Q833" s="17"/>
      <c r="R833" s="17"/>
      <c r="S833" s="17"/>
      <c r="T833" s="17"/>
      <c r="U833" s="17"/>
      <c r="V833" s="17"/>
      <c r="W833" s="17"/>
      <c r="X833" s="17"/>
      <c r="Y833" s="17"/>
    </row>
    <row r="834" spans="2:25" x14ac:dyDescent="0.35">
      <c r="B834" s="6" t="s">
        <v>333</v>
      </c>
      <c r="C834" s="17"/>
      <c r="D834" s="17"/>
      <c r="E834" s="17"/>
      <c r="F834" s="17"/>
      <c r="G834" s="17"/>
      <c r="H834" s="17"/>
      <c r="I834" s="17"/>
      <c r="J834" s="17"/>
      <c r="K834" s="17"/>
      <c r="L834" s="17"/>
      <c r="M834" s="17"/>
      <c r="N834" s="17"/>
      <c r="O834" s="17"/>
      <c r="P834" s="17"/>
      <c r="Q834" s="17"/>
      <c r="R834" s="17"/>
      <c r="S834" s="17"/>
      <c r="T834" s="17"/>
      <c r="U834" s="17"/>
      <c r="V834" s="17"/>
      <c r="W834" s="17"/>
      <c r="X834" s="17"/>
      <c r="Y834" s="17"/>
    </row>
    <row r="835" spans="2:25" x14ac:dyDescent="0.35">
      <c r="B835" s="24" t="s">
        <v>534</v>
      </c>
      <c r="C835" s="17"/>
      <c r="D835" s="17"/>
      <c r="E835" s="17"/>
      <c r="F835" s="17"/>
      <c r="G835" s="17"/>
      <c r="H835" s="17"/>
      <c r="I835" s="17"/>
      <c r="J835" s="17"/>
      <c r="K835" s="17"/>
      <c r="L835" s="17"/>
      <c r="M835" s="17"/>
      <c r="N835" s="17"/>
      <c r="O835" s="17"/>
      <c r="P835" s="17"/>
      <c r="Q835" s="17"/>
      <c r="R835" s="17"/>
      <c r="S835" s="17"/>
      <c r="T835" s="17"/>
      <c r="U835" s="17"/>
      <c r="V835" s="17"/>
      <c r="W835" s="17"/>
      <c r="X835" s="17"/>
      <c r="Y835" s="17"/>
    </row>
    <row r="836" spans="2:25" x14ac:dyDescent="0.35">
      <c r="B836" t="s">
        <v>321</v>
      </c>
      <c r="C836" s="17">
        <v>0.104977843129627</v>
      </c>
      <c r="D836" s="17">
        <v>0.117266795374191</v>
      </c>
      <c r="E836" s="17">
        <v>9.0650253060617206E-2</v>
      </c>
      <c r="F836" s="17"/>
      <c r="G836" s="17">
        <v>0.124266205207021</v>
      </c>
      <c r="H836" s="17">
        <v>0.11503978093351699</v>
      </c>
      <c r="I836" s="17">
        <v>0.12570130067177801</v>
      </c>
      <c r="J836" s="17">
        <v>8.7111296499766899E-2</v>
      </c>
      <c r="K836" s="17">
        <v>7.7782949463507195E-2</v>
      </c>
      <c r="L836" s="17">
        <v>0.11187195552186301</v>
      </c>
      <c r="M836" s="17"/>
      <c r="N836" s="17">
        <v>7.0525786300707202E-2</v>
      </c>
      <c r="O836" s="17">
        <v>2.2706209282751199E-2</v>
      </c>
      <c r="P836" s="17">
        <v>9.2493724835939595E-2</v>
      </c>
      <c r="Q836" s="17">
        <v>7.8380506857454804E-2</v>
      </c>
      <c r="R836" s="17">
        <v>0.153199691815815</v>
      </c>
      <c r="S836" s="17">
        <v>7.25318987850882E-2</v>
      </c>
      <c r="T836" s="17">
        <v>9.6288184885659198E-2</v>
      </c>
      <c r="U836" s="17">
        <v>0.175457355550343</v>
      </c>
      <c r="V836" s="17">
        <v>8.8272248571770101E-2</v>
      </c>
      <c r="W836" s="17"/>
      <c r="X836" s="17">
        <v>0.133265045764277</v>
      </c>
      <c r="Y836" s="17">
        <v>8.1849999329645901E-2</v>
      </c>
    </row>
    <row r="837" spans="2:25" x14ac:dyDescent="0.35">
      <c r="B837" t="s">
        <v>277</v>
      </c>
      <c r="C837" s="17">
        <v>0.20872554726641901</v>
      </c>
      <c r="D837" s="17">
        <v>0.23550589472518901</v>
      </c>
      <c r="E837" s="17">
        <v>0.17612090823613399</v>
      </c>
      <c r="F837" s="17"/>
      <c r="G837" s="17">
        <v>0.249728051160549</v>
      </c>
      <c r="H837" s="17">
        <v>0.22227605760814101</v>
      </c>
      <c r="I837" s="17">
        <v>0.219838318436123</v>
      </c>
      <c r="J837" s="17">
        <v>0.20071123708833</v>
      </c>
      <c r="K837" s="17">
        <v>0.16312847045065201</v>
      </c>
      <c r="L837" s="17">
        <v>0.23162907636619401</v>
      </c>
      <c r="M837" s="17"/>
      <c r="N837" s="17">
        <v>0.16000021939060399</v>
      </c>
      <c r="O837" s="17">
        <v>0.184364401765862</v>
      </c>
      <c r="P837" s="17">
        <v>0.209004024609487</v>
      </c>
      <c r="Q837" s="17">
        <v>0.151533743353328</v>
      </c>
      <c r="R837" s="17">
        <v>0.291733357381666</v>
      </c>
      <c r="S837" s="17">
        <v>0.15038043402462101</v>
      </c>
      <c r="T837" s="17">
        <v>0.23917067700769701</v>
      </c>
      <c r="U837" s="17">
        <v>0.25187887983298002</v>
      </c>
      <c r="V837" s="17">
        <v>0.17068630346618499</v>
      </c>
      <c r="W837" s="17"/>
      <c r="X837" s="17">
        <v>0.232453247849567</v>
      </c>
      <c r="Y837" s="17">
        <v>0.18932558892103199</v>
      </c>
    </row>
    <row r="838" spans="2:25" x14ac:dyDescent="0.35">
      <c r="B838" t="s">
        <v>322</v>
      </c>
      <c r="C838" s="17">
        <v>0.26233767801128699</v>
      </c>
      <c r="D838" s="17">
        <v>0.26701954435339997</v>
      </c>
      <c r="E838" s="17">
        <v>0.25572705634929899</v>
      </c>
      <c r="F838" s="17"/>
      <c r="G838" s="17">
        <v>0.29711749970888801</v>
      </c>
      <c r="H838" s="17">
        <v>0.26756071402438802</v>
      </c>
      <c r="I838" s="17">
        <v>0.27425834382438002</v>
      </c>
      <c r="J838" s="17">
        <v>0.24308340035722201</v>
      </c>
      <c r="K838" s="17">
        <v>0.25499189731493499</v>
      </c>
      <c r="L838" s="17">
        <v>0.24925346647206201</v>
      </c>
      <c r="M838" s="17"/>
      <c r="N838" s="17">
        <v>0.37165668077424402</v>
      </c>
      <c r="O838" s="17">
        <v>0.241619326194183</v>
      </c>
      <c r="P838" s="17">
        <v>0.27535913193634398</v>
      </c>
      <c r="Q838" s="17">
        <v>0.23807733948059001</v>
      </c>
      <c r="R838" s="17">
        <v>0.26957777368321301</v>
      </c>
      <c r="S838" s="17">
        <v>0.27734010480969801</v>
      </c>
      <c r="T838" s="17">
        <v>0.25528234867384503</v>
      </c>
      <c r="U838" s="17">
        <v>0.22719435399319299</v>
      </c>
      <c r="V838" s="17">
        <v>0.29986935062953302</v>
      </c>
      <c r="W838" s="17"/>
      <c r="X838" s="17">
        <v>0.285749236769334</v>
      </c>
      <c r="Y838" s="17">
        <v>0.24319619975825901</v>
      </c>
    </row>
    <row r="839" spans="2:25" x14ac:dyDescent="0.35">
      <c r="B839" t="s">
        <v>323</v>
      </c>
      <c r="C839" s="17">
        <v>0.41482929010064901</v>
      </c>
      <c r="D839" s="17">
        <v>0.37451536412814102</v>
      </c>
      <c r="E839" s="17">
        <v>0.464158759598714</v>
      </c>
      <c r="F839" s="17"/>
      <c r="G839" s="17">
        <v>0.31623277746582501</v>
      </c>
      <c r="H839" s="17">
        <v>0.39046176174052499</v>
      </c>
      <c r="I839" s="17">
        <v>0.37079084811825203</v>
      </c>
      <c r="J839" s="17">
        <v>0.45792758243700499</v>
      </c>
      <c r="K839" s="17">
        <v>0.49494229938344397</v>
      </c>
      <c r="L839" s="17">
        <v>0.39478227752064898</v>
      </c>
      <c r="M839" s="17"/>
      <c r="N839" s="17">
        <v>0.37865328481677601</v>
      </c>
      <c r="O839" s="17">
        <v>0.54229699857022795</v>
      </c>
      <c r="P839" s="17">
        <v>0.41084930784658602</v>
      </c>
      <c r="Q839" s="17">
        <v>0.51863337718206304</v>
      </c>
      <c r="R839" s="17">
        <v>0.28305321401879602</v>
      </c>
      <c r="S839" s="17">
        <v>0.49438277942689102</v>
      </c>
      <c r="T839" s="17">
        <v>0.40316634926253297</v>
      </c>
      <c r="U839" s="17">
        <v>0.33503792697238199</v>
      </c>
      <c r="V839" s="17">
        <v>0.42602866268206302</v>
      </c>
      <c r="W839" s="17"/>
      <c r="X839" s="17">
        <v>0.34327413499432002</v>
      </c>
      <c r="Y839" s="17">
        <v>0.47333335894609002</v>
      </c>
    </row>
    <row r="840" spans="2:25" x14ac:dyDescent="0.35">
      <c r="B840" t="s">
        <v>324</v>
      </c>
      <c r="C840" s="17">
        <v>9.1296414920182499E-3</v>
      </c>
      <c r="D840" s="17">
        <v>5.6924014190785598E-3</v>
      </c>
      <c r="E840" s="17">
        <v>1.3343022755235899E-2</v>
      </c>
      <c r="F840" s="17"/>
      <c r="G840" s="17">
        <v>1.26554664577166E-2</v>
      </c>
      <c r="H840" s="17">
        <v>4.66168569342986E-3</v>
      </c>
      <c r="I840" s="17">
        <v>9.4111889494661698E-3</v>
      </c>
      <c r="J840" s="17">
        <v>1.11664836176765E-2</v>
      </c>
      <c r="K840" s="17">
        <v>9.1543833874630793E-3</v>
      </c>
      <c r="L840" s="17">
        <v>1.24632241192329E-2</v>
      </c>
      <c r="M840" s="17"/>
      <c r="N840" s="17">
        <v>1.9164028717668501E-2</v>
      </c>
      <c r="O840" s="17">
        <v>9.0130641869763696E-3</v>
      </c>
      <c r="P840" s="17">
        <v>1.22938107716427E-2</v>
      </c>
      <c r="Q840" s="17">
        <v>1.33750331265645E-2</v>
      </c>
      <c r="R840" s="17">
        <v>2.4359631005107601E-3</v>
      </c>
      <c r="S840" s="17">
        <v>5.3647829537018001E-3</v>
      </c>
      <c r="T840" s="17">
        <v>6.0924401702657999E-3</v>
      </c>
      <c r="U840" s="17">
        <v>1.0431483651102001E-2</v>
      </c>
      <c r="V840" s="17">
        <v>1.51434346504486E-2</v>
      </c>
      <c r="W840" s="17"/>
      <c r="X840" s="17">
        <v>5.2583346225007202E-3</v>
      </c>
      <c r="Y840" s="17">
        <v>1.2294853044973899E-2</v>
      </c>
    </row>
    <row r="841" spans="2:25" x14ac:dyDescent="0.35">
      <c r="C841" s="17"/>
      <c r="D841" s="17"/>
      <c r="E841" s="17"/>
      <c r="F841" s="17"/>
      <c r="G841" s="17"/>
      <c r="H841" s="17"/>
      <c r="I841" s="17"/>
      <c r="J841" s="17"/>
      <c r="K841" s="17"/>
      <c r="L841" s="17"/>
      <c r="M841" s="17"/>
      <c r="N841" s="17"/>
      <c r="O841" s="17"/>
      <c r="P841" s="17"/>
      <c r="Q841" s="17"/>
      <c r="R841" s="17"/>
      <c r="S841" s="17"/>
      <c r="T841" s="17"/>
      <c r="U841" s="17"/>
      <c r="V841" s="17"/>
      <c r="W841" s="17"/>
      <c r="X841" s="17"/>
      <c r="Y841" s="17"/>
    </row>
    <row r="842" spans="2:25" x14ac:dyDescent="0.35">
      <c r="B842" s="6" t="s">
        <v>334</v>
      </c>
      <c r="C842" s="17"/>
      <c r="D842" s="17"/>
      <c r="E842" s="17"/>
      <c r="F842" s="17"/>
      <c r="G842" s="17"/>
      <c r="H842" s="17"/>
      <c r="I842" s="17"/>
      <c r="J842" s="17"/>
      <c r="K842" s="17"/>
      <c r="L842" s="17"/>
      <c r="M842" s="17"/>
      <c r="N842" s="17"/>
      <c r="O842" s="17"/>
      <c r="P842" s="17"/>
      <c r="Q842" s="17"/>
      <c r="R842" s="17"/>
      <c r="S842" s="17"/>
      <c r="T842" s="17"/>
      <c r="U842" s="17"/>
      <c r="V842" s="17"/>
      <c r="W842" s="17"/>
      <c r="X842" s="17"/>
      <c r="Y842" s="17"/>
    </row>
    <row r="843" spans="2:25" x14ac:dyDescent="0.35">
      <c r="B843" s="24" t="s">
        <v>534</v>
      </c>
      <c r="C843" s="17"/>
      <c r="D843" s="17"/>
      <c r="E843" s="17"/>
      <c r="F843" s="17"/>
      <c r="G843" s="17"/>
      <c r="H843" s="17"/>
      <c r="I843" s="17"/>
      <c r="J843" s="17"/>
      <c r="K843" s="17"/>
      <c r="L843" s="17"/>
      <c r="M843" s="17"/>
      <c r="N843" s="17"/>
      <c r="O843" s="17"/>
      <c r="P843" s="17"/>
      <c r="Q843" s="17"/>
      <c r="R843" s="17"/>
      <c r="S843" s="17"/>
      <c r="T843" s="17"/>
      <c r="U843" s="17"/>
      <c r="V843" s="17"/>
      <c r="W843" s="17"/>
      <c r="X843" s="17"/>
      <c r="Y843" s="17"/>
    </row>
    <row r="844" spans="2:25" x14ac:dyDescent="0.35">
      <c r="B844" t="s">
        <v>321</v>
      </c>
      <c r="C844" s="17">
        <v>7.6145592187622096E-2</v>
      </c>
      <c r="D844" s="17">
        <v>8.5120172698069499E-2</v>
      </c>
      <c r="E844" s="17">
        <v>6.5679422704734605E-2</v>
      </c>
      <c r="F844" s="17"/>
      <c r="G844" s="17">
        <v>0.101986708906766</v>
      </c>
      <c r="H844" s="17">
        <v>9.47508318993356E-2</v>
      </c>
      <c r="I844" s="17">
        <v>7.9347495150627306E-2</v>
      </c>
      <c r="J844" s="17">
        <v>6.6732792717430794E-2</v>
      </c>
      <c r="K844" s="17">
        <v>5.3779938153637803E-2</v>
      </c>
      <c r="L844" s="17">
        <v>6.3930035037300395E-2</v>
      </c>
      <c r="M844" s="17"/>
      <c r="N844" s="17">
        <v>4.1397657648655398E-2</v>
      </c>
      <c r="O844" s="17">
        <v>7.0324204171520702E-2</v>
      </c>
      <c r="P844" s="17">
        <v>7.36227744768852E-2</v>
      </c>
      <c r="Q844" s="17">
        <v>5.7979840911251301E-2</v>
      </c>
      <c r="R844" s="17">
        <v>9.31463071171926E-2</v>
      </c>
      <c r="S844" s="17">
        <v>6.70810374504138E-2</v>
      </c>
      <c r="T844" s="17">
        <v>4.8917611528867901E-2</v>
      </c>
      <c r="U844" s="17">
        <v>0.14606701204429501</v>
      </c>
      <c r="V844" s="17">
        <v>4.20890127756397E-2</v>
      </c>
      <c r="W844" s="17"/>
      <c r="X844" s="17">
        <v>0.10347187307801101</v>
      </c>
      <c r="Y844" s="17">
        <v>5.3803405714465902E-2</v>
      </c>
    </row>
    <row r="845" spans="2:25" x14ac:dyDescent="0.35">
      <c r="B845" t="s">
        <v>277</v>
      </c>
      <c r="C845" s="17">
        <v>0.25711175372325501</v>
      </c>
      <c r="D845" s="17">
        <v>0.27118254241143902</v>
      </c>
      <c r="E845" s="17">
        <v>0.240848831277863</v>
      </c>
      <c r="F845" s="17"/>
      <c r="G845" s="17">
        <v>0.252392912488828</v>
      </c>
      <c r="H845" s="17">
        <v>0.280263867059664</v>
      </c>
      <c r="I845" s="17">
        <v>0.27363115794428999</v>
      </c>
      <c r="J845" s="17">
        <v>0.24974199078707199</v>
      </c>
      <c r="K845" s="17">
        <v>0.211296803992856</v>
      </c>
      <c r="L845" s="17">
        <v>0.27516155231656703</v>
      </c>
      <c r="M845" s="17"/>
      <c r="N845" s="17">
        <v>0.18262026031370299</v>
      </c>
      <c r="O845" s="17">
        <v>0.223142340700551</v>
      </c>
      <c r="P845" s="17">
        <v>0.24827230644062601</v>
      </c>
      <c r="Q845" s="17">
        <v>0.223104804188758</v>
      </c>
      <c r="R845" s="17">
        <v>0.36186321684777001</v>
      </c>
      <c r="S845" s="17">
        <v>0.15037100117896099</v>
      </c>
      <c r="T845" s="17">
        <v>0.24843885921977801</v>
      </c>
      <c r="U845" s="17">
        <v>0.38396004109159798</v>
      </c>
      <c r="V845" s="17">
        <v>0.18393793306492701</v>
      </c>
      <c r="W845" s="17"/>
      <c r="X845" s="17">
        <v>0.28048148435744902</v>
      </c>
      <c r="Y845" s="17">
        <v>0.23800447447984199</v>
      </c>
    </row>
    <row r="846" spans="2:25" x14ac:dyDescent="0.35">
      <c r="B846" t="s">
        <v>322</v>
      </c>
      <c r="C846" s="17">
        <v>0.25670689385912998</v>
      </c>
      <c r="D846" s="17">
        <v>0.263349576949653</v>
      </c>
      <c r="E846" s="17">
        <v>0.24755180776466901</v>
      </c>
      <c r="F846" s="17"/>
      <c r="G846" s="17">
        <v>0.28317533127799399</v>
      </c>
      <c r="H846" s="17">
        <v>0.242538978071972</v>
      </c>
      <c r="I846" s="17">
        <v>0.26367192407516199</v>
      </c>
      <c r="J846" s="17">
        <v>0.25692710475205999</v>
      </c>
      <c r="K846" s="17">
        <v>0.26080155463086702</v>
      </c>
      <c r="L846" s="17">
        <v>0.23227016700338399</v>
      </c>
      <c r="M846" s="17"/>
      <c r="N846" s="17">
        <v>0.399518833425347</v>
      </c>
      <c r="O846" s="17">
        <v>0.25931324620643098</v>
      </c>
      <c r="P846" s="17">
        <v>0.22752818628484101</v>
      </c>
      <c r="Q846" s="17">
        <v>0.26409633114085901</v>
      </c>
      <c r="R846" s="17">
        <v>0.29316014227690301</v>
      </c>
      <c r="S846" s="17">
        <v>0.25671309428792</v>
      </c>
      <c r="T846" s="17">
        <v>0.27541573185141899</v>
      </c>
      <c r="U846" s="17">
        <v>0.20545782374330099</v>
      </c>
      <c r="V846" s="17">
        <v>0.231723459173896</v>
      </c>
      <c r="W846" s="17"/>
      <c r="X846" s="17">
        <v>0.26437224988598301</v>
      </c>
      <c r="Y846" s="17">
        <v>0.25043963727847601</v>
      </c>
    </row>
    <row r="847" spans="2:25" x14ac:dyDescent="0.35">
      <c r="B847" t="s">
        <v>323</v>
      </c>
      <c r="C847" s="17">
        <v>0.36497042992195999</v>
      </c>
      <c r="D847" s="17">
        <v>0.35569086582056397</v>
      </c>
      <c r="E847" s="17">
        <v>0.376559483138934</v>
      </c>
      <c r="F847" s="17"/>
      <c r="G847" s="17">
        <v>0.31775632836342999</v>
      </c>
      <c r="H847" s="17">
        <v>0.33542688741440602</v>
      </c>
      <c r="I847" s="17">
        <v>0.34652288182268298</v>
      </c>
      <c r="J847" s="17">
        <v>0.38316503021475301</v>
      </c>
      <c r="K847" s="17">
        <v>0.419276866705805</v>
      </c>
      <c r="L847" s="17">
        <v>0.37769617125003502</v>
      </c>
      <c r="M847" s="17"/>
      <c r="N847" s="17">
        <v>0.36013055687092799</v>
      </c>
      <c r="O847" s="17">
        <v>0.42027605659321299</v>
      </c>
      <c r="P847" s="17">
        <v>0.418483958345026</v>
      </c>
      <c r="Q847" s="17">
        <v>0.40768273464062899</v>
      </c>
      <c r="R847" s="17">
        <v>0.21131258665808</v>
      </c>
      <c r="S847" s="17">
        <v>0.43507604685701801</v>
      </c>
      <c r="T847" s="17">
        <v>0.39481130051153002</v>
      </c>
      <c r="U847" s="17">
        <v>0.23910566389523899</v>
      </c>
      <c r="V847" s="17">
        <v>0.47439217391545802</v>
      </c>
      <c r="W847" s="17"/>
      <c r="X847" s="17">
        <v>0.317571996460143</v>
      </c>
      <c r="Y847" s="17">
        <v>0.40372376936054599</v>
      </c>
    </row>
    <row r="848" spans="2:25" x14ac:dyDescent="0.35">
      <c r="B848" t="s">
        <v>324</v>
      </c>
      <c r="C848" s="17">
        <v>4.5065330308033398E-2</v>
      </c>
      <c r="D848" s="17">
        <v>2.4656842120274199E-2</v>
      </c>
      <c r="E848" s="17">
        <v>6.9360455113799693E-2</v>
      </c>
      <c r="F848" s="17"/>
      <c r="G848" s="17">
        <v>4.46887189629811E-2</v>
      </c>
      <c r="H848" s="17">
        <v>4.7019435554622402E-2</v>
      </c>
      <c r="I848" s="17">
        <v>3.6826541007238103E-2</v>
      </c>
      <c r="J848" s="17">
        <v>4.3433081528684497E-2</v>
      </c>
      <c r="K848" s="17">
        <v>5.4844836516834201E-2</v>
      </c>
      <c r="L848" s="17">
        <v>5.0942074392713303E-2</v>
      </c>
      <c r="M848" s="17"/>
      <c r="N848" s="17">
        <v>1.6332691741366499E-2</v>
      </c>
      <c r="O848" s="17">
        <v>2.6944152328283899E-2</v>
      </c>
      <c r="P848" s="17">
        <v>3.2092774452621597E-2</v>
      </c>
      <c r="Q848" s="17">
        <v>4.7136289118502997E-2</v>
      </c>
      <c r="R848" s="17">
        <v>4.0517747100053597E-2</v>
      </c>
      <c r="S848" s="17">
        <v>9.0758820225687403E-2</v>
      </c>
      <c r="T848" s="17">
        <v>3.2416496888404402E-2</v>
      </c>
      <c r="U848" s="17">
        <v>2.54094592255673E-2</v>
      </c>
      <c r="V848" s="17">
        <v>6.7857421070078999E-2</v>
      </c>
      <c r="W848" s="17"/>
      <c r="X848" s="17">
        <v>3.4102396218413503E-2</v>
      </c>
      <c r="Y848" s="17">
        <v>5.40287131666701E-2</v>
      </c>
    </row>
    <row r="849" spans="2:25" x14ac:dyDescent="0.35">
      <c r="C849" s="17"/>
      <c r="D849" s="17"/>
      <c r="E849" s="17"/>
      <c r="F849" s="17"/>
      <c r="G849" s="17"/>
      <c r="H849" s="17"/>
      <c r="I849" s="17"/>
      <c r="J849" s="17"/>
      <c r="K849" s="17"/>
      <c r="L849" s="17"/>
      <c r="M849" s="17"/>
      <c r="N849" s="17"/>
      <c r="O849" s="17"/>
      <c r="P849" s="17"/>
      <c r="Q849" s="17"/>
      <c r="R849" s="17"/>
      <c r="S849" s="17"/>
      <c r="T849" s="17"/>
      <c r="U849" s="17"/>
      <c r="V849" s="17"/>
      <c r="W849" s="17"/>
      <c r="X849" s="17"/>
      <c r="Y849" s="17"/>
    </row>
    <row r="850" spans="2:25" x14ac:dyDescent="0.35">
      <c r="B850" s="6" t="s">
        <v>338</v>
      </c>
      <c r="C850" s="17"/>
      <c r="D850" s="17"/>
      <c r="E850" s="17"/>
      <c r="F850" s="17"/>
      <c r="G850" s="17"/>
      <c r="H850" s="17"/>
      <c r="I850" s="17"/>
      <c r="J850" s="17"/>
      <c r="K850" s="17"/>
      <c r="L850" s="17"/>
      <c r="M850" s="17"/>
      <c r="N850" s="17"/>
      <c r="O850" s="17"/>
      <c r="P850" s="17"/>
      <c r="Q850" s="17"/>
      <c r="R850" s="17"/>
      <c r="S850" s="17"/>
      <c r="T850" s="17"/>
      <c r="U850" s="17"/>
      <c r="V850" s="17"/>
      <c r="W850" s="17"/>
      <c r="X850" s="17"/>
      <c r="Y850" s="17"/>
    </row>
    <row r="851" spans="2:25" x14ac:dyDescent="0.35">
      <c r="B851" s="24" t="s">
        <v>534</v>
      </c>
      <c r="C851" s="17"/>
      <c r="D851" s="17"/>
      <c r="E851" s="17"/>
      <c r="F851" s="17"/>
      <c r="G851" s="17"/>
      <c r="H851" s="17"/>
      <c r="I851" s="17"/>
      <c r="J851" s="17"/>
      <c r="K851" s="17"/>
      <c r="L851" s="17"/>
      <c r="M851" s="17"/>
      <c r="N851" s="17"/>
      <c r="O851" s="17"/>
      <c r="P851" s="17"/>
      <c r="Q851" s="17"/>
      <c r="R851" s="17"/>
      <c r="S851" s="17"/>
      <c r="T851" s="17"/>
      <c r="U851" s="17"/>
      <c r="V851" s="17"/>
      <c r="W851" s="17"/>
      <c r="X851" s="17"/>
      <c r="Y851" s="17"/>
    </row>
    <row r="852" spans="2:25" x14ac:dyDescent="0.35">
      <c r="B852" t="s">
        <v>321</v>
      </c>
      <c r="C852" s="17">
        <v>0.26418489675394002</v>
      </c>
      <c r="D852" s="17">
        <v>0.259808077882896</v>
      </c>
      <c r="E852" s="17">
        <v>0.27037188806677198</v>
      </c>
      <c r="F852" s="17"/>
      <c r="G852" s="17">
        <v>0.25017619307082301</v>
      </c>
      <c r="H852" s="17">
        <v>0.26849460908643702</v>
      </c>
      <c r="I852" s="17">
        <v>0.27924026625394399</v>
      </c>
      <c r="J852" s="17">
        <v>0.25105666178165098</v>
      </c>
      <c r="K852" s="17">
        <v>0.245648167965693</v>
      </c>
      <c r="L852" s="17">
        <v>0.31871402628159901</v>
      </c>
      <c r="M852" s="17"/>
      <c r="N852" s="17">
        <v>0.29212262589389398</v>
      </c>
      <c r="O852" s="17">
        <v>0.23330626127624399</v>
      </c>
      <c r="P852" s="17">
        <v>0.21905803129999901</v>
      </c>
      <c r="Q852" s="17">
        <v>0.22325935899969701</v>
      </c>
      <c r="R852" s="17">
        <v>0.22733886017962501</v>
      </c>
      <c r="S852" s="17">
        <v>0.294382786311711</v>
      </c>
      <c r="T852" s="17">
        <v>0.24009744507175701</v>
      </c>
      <c r="U852" s="17">
        <v>0.38121913079120701</v>
      </c>
      <c r="V852" s="17">
        <v>0.25615245144044702</v>
      </c>
      <c r="W852" s="17"/>
      <c r="X852" s="17">
        <v>0.37657389075084702</v>
      </c>
      <c r="Y852" s="17">
        <v>0.172294753653916</v>
      </c>
    </row>
    <row r="853" spans="2:25" x14ac:dyDescent="0.35">
      <c r="B853" t="s">
        <v>277</v>
      </c>
      <c r="C853" s="17">
        <v>0.35438429638151397</v>
      </c>
      <c r="D853" s="17">
        <v>0.37059825502390098</v>
      </c>
      <c r="E853" s="17">
        <v>0.33540270560718199</v>
      </c>
      <c r="F853" s="17"/>
      <c r="G853" s="17">
        <v>0.375977824982273</v>
      </c>
      <c r="H853" s="17">
        <v>0.37233505775400499</v>
      </c>
      <c r="I853" s="17">
        <v>0.37144676757075001</v>
      </c>
      <c r="J853" s="17">
        <v>0.34063046380156797</v>
      </c>
      <c r="K853" s="17">
        <v>0.32259805121547502</v>
      </c>
      <c r="L853" s="17">
        <v>0.337375827492081</v>
      </c>
      <c r="M853" s="17"/>
      <c r="N853" s="17">
        <v>0.30343421840461599</v>
      </c>
      <c r="O853" s="17">
        <v>0.34228760197348301</v>
      </c>
      <c r="P853" s="17">
        <v>0.31903812390300901</v>
      </c>
      <c r="Q853" s="17">
        <v>0.325436263103003</v>
      </c>
      <c r="R853" s="17">
        <v>0.39587250319804301</v>
      </c>
      <c r="S853" s="17">
        <v>0.37929110600359001</v>
      </c>
      <c r="T853" s="17">
        <v>0.394573202673281</v>
      </c>
      <c r="U853" s="17">
        <v>0.300186397296685</v>
      </c>
      <c r="V853" s="17">
        <v>0.40609393199611299</v>
      </c>
      <c r="W853" s="17"/>
      <c r="X853" s="17">
        <v>0.38123568835371102</v>
      </c>
      <c r="Y853" s="17">
        <v>0.33243038289753002</v>
      </c>
    </row>
    <row r="854" spans="2:25" x14ac:dyDescent="0.35">
      <c r="B854" t="s">
        <v>322</v>
      </c>
      <c r="C854" s="17">
        <v>0.18548048498416</v>
      </c>
      <c r="D854" s="17">
        <v>0.19263986655144499</v>
      </c>
      <c r="E854" s="17">
        <v>0.175384604482513</v>
      </c>
      <c r="F854" s="17"/>
      <c r="G854" s="17">
        <v>0.200645563099108</v>
      </c>
      <c r="H854" s="17">
        <v>0.19990930839981799</v>
      </c>
      <c r="I854" s="17">
        <v>0.18036185427170001</v>
      </c>
      <c r="J854" s="17">
        <v>0.19234650581896101</v>
      </c>
      <c r="K854" s="17">
        <v>0.18031004492539901</v>
      </c>
      <c r="L854" s="17">
        <v>0.110706516243691</v>
      </c>
      <c r="M854" s="17"/>
      <c r="N854" s="17">
        <v>0.179034648017663</v>
      </c>
      <c r="O854" s="17">
        <v>0.25703051615498201</v>
      </c>
      <c r="P854" s="17">
        <v>0.210062243107215</v>
      </c>
      <c r="Q854" s="17">
        <v>0.22239779007097901</v>
      </c>
      <c r="R854" s="17">
        <v>0.21205371926403299</v>
      </c>
      <c r="S854" s="17">
        <v>0.16436202460342</v>
      </c>
      <c r="T854" s="17">
        <v>0.16438606213257101</v>
      </c>
      <c r="U854" s="17">
        <v>0.142341858019878</v>
      </c>
      <c r="V854" s="17">
        <v>0.170136404054019</v>
      </c>
      <c r="W854" s="17"/>
      <c r="X854" s="17">
        <v>0.14443621155420799</v>
      </c>
      <c r="Y854" s="17">
        <v>0.21903861220628501</v>
      </c>
    </row>
    <row r="855" spans="2:25" x14ac:dyDescent="0.35">
      <c r="B855" t="s">
        <v>323</v>
      </c>
      <c r="C855" s="17">
        <v>0.188066203138955</v>
      </c>
      <c r="D855" s="17">
        <v>0.171703683183832</v>
      </c>
      <c r="E855" s="17">
        <v>0.20772316419464701</v>
      </c>
      <c r="F855" s="17"/>
      <c r="G855" s="17">
        <v>0.164326154952433</v>
      </c>
      <c r="H855" s="17">
        <v>0.15173085879988299</v>
      </c>
      <c r="I855" s="17">
        <v>0.16414519670821401</v>
      </c>
      <c r="J855" s="17">
        <v>0.20651756637527999</v>
      </c>
      <c r="K855" s="17">
        <v>0.23906127932677099</v>
      </c>
      <c r="L855" s="17">
        <v>0.233203629982628</v>
      </c>
      <c r="M855" s="17"/>
      <c r="N855" s="17">
        <v>0.217131434931362</v>
      </c>
      <c r="O855" s="17">
        <v>0.16737562059529201</v>
      </c>
      <c r="P855" s="17">
        <v>0.24097215993923499</v>
      </c>
      <c r="Q855" s="17">
        <v>0.218549477595505</v>
      </c>
      <c r="R855" s="17">
        <v>0.159571934298777</v>
      </c>
      <c r="S855" s="17">
        <v>0.15202062516603801</v>
      </c>
      <c r="T855" s="17">
        <v>0.19800759515924601</v>
      </c>
      <c r="U855" s="17">
        <v>0.16948231441259601</v>
      </c>
      <c r="V855" s="17">
        <v>0.152750640123304</v>
      </c>
      <c r="W855" s="17"/>
      <c r="X855" s="17">
        <v>9.2652870689326206E-2</v>
      </c>
      <c r="Y855" s="17">
        <v>0.26607690917559601</v>
      </c>
    </row>
    <row r="856" spans="2:25" x14ac:dyDescent="0.35">
      <c r="B856" t="s">
        <v>324</v>
      </c>
      <c r="C856" s="17">
        <v>7.88411874143107E-3</v>
      </c>
      <c r="D856" s="17">
        <v>5.2501173579256001E-3</v>
      </c>
      <c r="E856" s="17">
        <v>1.1117637648885501E-2</v>
      </c>
      <c r="F856" s="17"/>
      <c r="G856" s="17">
        <v>8.87426389536374E-3</v>
      </c>
      <c r="H856" s="17">
        <v>7.5301659598558703E-3</v>
      </c>
      <c r="I856" s="17">
        <v>4.8059151953915797E-3</v>
      </c>
      <c r="J856" s="17">
        <v>9.4488022225393802E-3</v>
      </c>
      <c r="K856" s="17">
        <v>1.23824565666623E-2</v>
      </c>
      <c r="L856" s="17">
        <v>0</v>
      </c>
      <c r="M856" s="17"/>
      <c r="N856" s="17">
        <v>8.2770727524654492E-3</v>
      </c>
      <c r="O856" s="17">
        <v>0</v>
      </c>
      <c r="P856" s="17">
        <v>1.0869441750541799E-2</v>
      </c>
      <c r="Q856" s="17">
        <v>1.03571102308155E-2</v>
      </c>
      <c r="R856" s="17">
        <v>5.1629830595224203E-3</v>
      </c>
      <c r="S856" s="17">
        <v>9.9434579152421695E-3</v>
      </c>
      <c r="T856" s="17">
        <v>2.9356949631445398E-3</v>
      </c>
      <c r="U856" s="17">
        <v>6.7702994796349303E-3</v>
      </c>
      <c r="V856" s="17">
        <v>1.48665723861157E-2</v>
      </c>
      <c r="W856" s="17"/>
      <c r="X856" s="17">
        <v>5.1013386519073497E-3</v>
      </c>
      <c r="Y856" s="17">
        <v>1.01593420666729E-2</v>
      </c>
    </row>
    <row r="857" spans="2:25" x14ac:dyDescent="0.35">
      <c r="C857" s="17"/>
      <c r="D857" s="17"/>
      <c r="E857" s="17"/>
      <c r="F857" s="17"/>
      <c r="G857" s="17"/>
      <c r="H857" s="17"/>
      <c r="I857" s="17"/>
      <c r="J857" s="17"/>
      <c r="K857" s="17"/>
      <c r="L857" s="17"/>
      <c r="M857" s="17"/>
      <c r="N857" s="17"/>
      <c r="O857" s="17"/>
      <c r="P857" s="17"/>
      <c r="Q857" s="17"/>
      <c r="R857" s="17"/>
      <c r="S857" s="17"/>
      <c r="T857" s="17"/>
      <c r="U857" s="17"/>
      <c r="V857" s="17"/>
      <c r="W857" s="17"/>
      <c r="X857" s="17"/>
      <c r="Y857" s="17"/>
    </row>
    <row r="858" spans="2:25" x14ac:dyDescent="0.35">
      <c r="B858" s="6" t="s">
        <v>339</v>
      </c>
      <c r="C858" s="17"/>
      <c r="D858" s="17"/>
      <c r="E858" s="17"/>
      <c r="F858" s="17"/>
      <c r="G858" s="17"/>
      <c r="H858" s="17"/>
      <c r="I858" s="17"/>
      <c r="J858" s="17"/>
      <c r="K858" s="17"/>
      <c r="L858" s="17"/>
      <c r="M858" s="17"/>
      <c r="N858" s="17"/>
      <c r="O858" s="17"/>
      <c r="P858" s="17"/>
      <c r="Q858" s="17"/>
      <c r="R858" s="17"/>
      <c r="S858" s="17"/>
      <c r="T858" s="17"/>
      <c r="U858" s="17"/>
      <c r="V858" s="17"/>
      <c r="W858" s="17"/>
      <c r="X858" s="17"/>
      <c r="Y858" s="17"/>
    </row>
    <row r="859" spans="2:25" x14ac:dyDescent="0.35">
      <c r="B859" s="24" t="s">
        <v>534</v>
      </c>
      <c r="C859" s="17"/>
      <c r="D859" s="17"/>
      <c r="E859" s="17"/>
      <c r="F859" s="17"/>
      <c r="G859" s="17"/>
      <c r="H859" s="17"/>
      <c r="I859" s="17"/>
      <c r="J859" s="17"/>
      <c r="K859" s="17"/>
      <c r="L859" s="17"/>
      <c r="M859" s="17"/>
      <c r="N859" s="17"/>
      <c r="O859" s="17"/>
      <c r="P859" s="17"/>
      <c r="Q859" s="17"/>
      <c r="R859" s="17"/>
      <c r="S859" s="17"/>
      <c r="T859" s="17"/>
      <c r="U859" s="17"/>
      <c r="V859" s="17"/>
      <c r="W859" s="17"/>
      <c r="X859" s="17"/>
      <c r="Y859" s="17"/>
    </row>
    <row r="860" spans="2:25" x14ac:dyDescent="0.35">
      <c r="B860" t="s">
        <v>321</v>
      </c>
      <c r="C860" s="17">
        <v>0.22849963217842501</v>
      </c>
      <c r="D860" s="17">
        <v>0.23263363299393999</v>
      </c>
      <c r="E860" s="17">
        <v>0.22299202962711101</v>
      </c>
      <c r="F860" s="17"/>
      <c r="G860" s="17">
        <v>0.20971463697093401</v>
      </c>
      <c r="H860" s="17">
        <v>0.24067859552571</v>
      </c>
      <c r="I860" s="17">
        <v>0.23141900642958901</v>
      </c>
      <c r="J860" s="17">
        <v>0.213044355440452</v>
      </c>
      <c r="K860" s="17">
        <v>0.22085804194454101</v>
      </c>
      <c r="L860" s="17">
        <v>0.28759063328650503</v>
      </c>
      <c r="M860" s="17"/>
      <c r="N860" s="17">
        <v>9.21425699882404E-2</v>
      </c>
      <c r="O860" s="17">
        <v>0.27377444224541397</v>
      </c>
      <c r="P860" s="17">
        <v>0.23575417247840599</v>
      </c>
      <c r="Q860" s="17">
        <v>0.17504104192325501</v>
      </c>
      <c r="R860" s="17">
        <v>0.20176541802768799</v>
      </c>
      <c r="S860" s="17">
        <v>0.28779373184540902</v>
      </c>
      <c r="T860" s="17">
        <v>0.15795327272091</v>
      </c>
      <c r="U860" s="17">
        <v>0.362538398146319</v>
      </c>
      <c r="V860" s="17">
        <v>0.17203374769271401</v>
      </c>
      <c r="W860" s="17"/>
      <c r="X860" s="17">
        <v>0.29315663464007002</v>
      </c>
      <c r="Y860" s="17">
        <v>0.175635548273708</v>
      </c>
    </row>
    <row r="861" spans="2:25" x14ac:dyDescent="0.35">
      <c r="B861" t="s">
        <v>277</v>
      </c>
      <c r="C861" s="17">
        <v>0.41641843869018402</v>
      </c>
      <c r="D861" s="17">
        <v>0.42660757863186599</v>
      </c>
      <c r="E861" s="17">
        <v>0.40389378510086898</v>
      </c>
      <c r="F861" s="17"/>
      <c r="G861" s="17">
        <v>0.45357513544102401</v>
      </c>
      <c r="H861" s="17">
        <v>0.41713084329531902</v>
      </c>
      <c r="I861" s="17">
        <v>0.41670395084148398</v>
      </c>
      <c r="J861" s="17">
        <v>0.41493460909242502</v>
      </c>
      <c r="K861" s="17">
        <v>0.397112048995447</v>
      </c>
      <c r="L861" s="17">
        <v>0.43190371509846198</v>
      </c>
      <c r="M861" s="17"/>
      <c r="N861" s="17">
        <v>0.39286727549786599</v>
      </c>
      <c r="O861" s="17">
        <v>0.43736521557088898</v>
      </c>
      <c r="P861" s="17">
        <v>0.35148167837952699</v>
      </c>
      <c r="Q861" s="17">
        <v>0.42234308400346199</v>
      </c>
      <c r="R861" s="17">
        <v>0.50408018422231604</v>
      </c>
      <c r="S861" s="17">
        <v>0.42765195398589601</v>
      </c>
      <c r="T861" s="17">
        <v>0.420277309018741</v>
      </c>
      <c r="U861" s="17">
        <v>0.382932120247508</v>
      </c>
      <c r="V861" s="17">
        <v>0.41308846153627699</v>
      </c>
      <c r="W861" s="17"/>
      <c r="X861" s="17">
        <v>0.43198545730892701</v>
      </c>
      <c r="Y861" s="17">
        <v>0.40369071938560203</v>
      </c>
    </row>
    <row r="862" spans="2:25" x14ac:dyDescent="0.35">
      <c r="B862" t="s">
        <v>322</v>
      </c>
      <c r="C862" s="17">
        <v>0.19837860222496201</v>
      </c>
      <c r="D862" s="17">
        <v>0.20033035391838</v>
      </c>
      <c r="E862" s="17">
        <v>0.196402421169177</v>
      </c>
      <c r="F862" s="17"/>
      <c r="G862" s="17">
        <v>0.23805198589715701</v>
      </c>
      <c r="H862" s="17">
        <v>0.19530840013218301</v>
      </c>
      <c r="I862" s="17">
        <v>0.20611937306824499</v>
      </c>
      <c r="J862" s="17">
        <v>0.19178630776703801</v>
      </c>
      <c r="K862" s="17">
        <v>0.20292316034487701</v>
      </c>
      <c r="L862" s="17">
        <v>0.13386845947457901</v>
      </c>
      <c r="M862" s="17"/>
      <c r="N862" s="17">
        <v>0.297054611035106</v>
      </c>
      <c r="O862" s="17">
        <v>0.21358386089011799</v>
      </c>
      <c r="P862" s="17">
        <v>0.18176283395048501</v>
      </c>
      <c r="Q862" s="17">
        <v>0.22349085619096501</v>
      </c>
      <c r="R862" s="17">
        <v>0.19727321074481499</v>
      </c>
      <c r="S862" s="17">
        <v>0.162880577171955</v>
      </c>
      <c r="T862" s="17">
        <v>0.23000483941802299</v>
      </c>
      <c r="U862" s="17">
        <v>0.127361832760613</v>
      </c>
      <c r="V862" s="17">
        <v>0.29327279137023698</v>
      </c>
      <c r="W862" s="17"/>
      <c r="X862" s="17">
        <v>0.18350175917358599</v>
      </c>
      <c r="Y862" s="17">
        <v>0.21054202844893199</v>
      </c>
    </row>
    <row r="863" spans="2:25" x14ac:dyDescent="0.35">
      <c r="B863" t="s">
        <v>323</v>
      </c>
      <c r="C863" s="17">
        <v>0.152893339191424</v>
      </c>
      <c r="D863" s="17">
        <v>0.136947918045701</v>
      </c>
      <c r="E863" s="17">
        <v>0.17248220781704299</v>
      </c>
      <c r="F863" s="17"/>
      <c r="G863" s="17">
        <v>8.7309186857704502E-2</v>
      </c>
      <c r="H863" s="17">
        <v>0.14080344727229599</v>
      </c>
      <c r="I863" s="17">
        <v>0.14360410723335301</v>
      </c>
      <c r="J863" s="17">
        <v>0.17929567756465001</v>
      </c>
      <c r="K863" s="17">
        <v>0.176511193967365</v>
      </c>
      <c r="L863" s="17">
        <v>0.13775744724212299</v>
      </c>
      <c r="M863" s="17"/>
      <c r="N863" s="17">
        <v>0.19700633144676799</v>
      </c>
      <c r="O863" s="17">
        <v>7.5276481293579903E-2</v>
      </c>
      <c r="P863" s="17">
        <v>0.226070985345349</v>
      </c>
      <c r="Q863" s="17">
        <v>0.17062840871783999</v>
      </c>
      <c r="R863" s="17">
        <v>9.6881187005180697E-2</v>
      </c>
      <c r="S863" s="17">
        <v>0.121673736996741</v>
      </c>
      <c r="T863" s="17">
        <v>0.19176457884232601</v>
      </c>
      <c r="U863" s="17">
        <v>0.118707275565111</v>
      </c>
      <c r="V863" s="17">
        <v>0.121604999400772</v>
      </c>
      <c r="W863" s="17"/>
      <c r="X863" s="17">
        <v>8.9197345481594803E-2</v>
      </c>
      <c r="Y863" s="17">
        <v>0.20497169463124201</v>
      </c>
    </row>
    <row r="864" spans="2:25" x14ac:dyDescent="0.35">
      <c r="B864" t="s">
        <v>324</v>
      </c>
      <c r="C864" s="17">
        <v>3.8099877150048799E-3</v>
      </c>
      <c r="D864" s="17">
        <v>3.4805164101128498E-3</v>
      </c>
      <c r="E864" s="17">
        <v>4.2295562858000501E-3</v>
      </c>
      <c r="F864" s="17"/>
      <c r="G864" s="17">
        <v>1.1349054833180799E-2</v>
      </c>
      <c r="H864" s="17">
        <v>6.0787137744915797E-3</v>
      </c>
      <c r="I864" s="17">
        <v>2.15356242732876E-3</v>
      </c>
      <c r="J864" s="17">
        <v>9.3905013543472201E-4</v>
      </c>
      <c r="K864" s="17">
        <v>2.5955547477706799E-3</v>
      </c>
      <c r="L864" s="17">
        <v>8.8797448983305906E-3</v>
      </c>
      <c r="M864" s="17"/>
      <c r="N864" s="17">
        <v>2.0929212032020701E-2</v>
      </c>
      <c r="O864" s="17">
        <v>0</v>
      </c>
      <c r="P864" s="17">
        <v>4.9303298462328596E-3</v>
      </c>
      <c r="Q864" s="17">
        <v>8.4966091644775206E-3</v>
      </c>
      <c r="R864" s="17">
        <v>0</v>
      </c>
      <c r="S864" s="17">
        <v>0</v>
      </c>
      <c r="T864" s="17">
        <v>0</v>
      </c>
      <c r="U864" s="17">
        <v>8.4603732804493601E-3</v>
      </c>
      <c r="V864" s="17">
        <v>0</v>
      </c>
      <c r="W864" s="17"/>
      <c r="X864" s="17">
        <v>2.1588033958222798E-3</v>
      </c>
      <c r="Y864" s="17">
        <v>5.1600092605165399E-3</v>
      </c>
    </row>
    <row r="865" spans="2:25" x14ac:dyDescent="0.35">
      <c r="C865" s="17"/>
      <c r="D865" s="17"/>
      <c r="E865" s="17"/>
      <c r="F865" s="17"/>
      <c r="G865" s="17"/>
      <c r="H865" s="17"/>
      <c r="I865" s="17"/>
      <c r="J865" s="17"/>
      <c r="K865" s="17"/>
      <c r="L865" s="17"/>
      <c r="M865" s="17"/>
      <c r="N865" s="17"/>
      <c r="O865" s="17"/>
      <c r="P865" s="17"/>
      <c r="Q865" s="17"/>
      <c r="R865" s="17"/>
      <c r="S865" s="17"/>
      <c r="T865" s="17"/>
      <c r="U865" s="17"/>
      <c r="V865" s="17"/>
      <c r="W865" s="17"/>
      <c r="X865" s="17"/>
      <c r="Y865" s="17"/>
    </row>
    <row r="866" spans="2:25" x14ac:dyDescent="0.35">
      <c r="B866" s="6" t="s">
        <v>340</v>
      </c>
      <c r="C866" s="17"/>
      <c r="D866" s="17"/>
      <c r="E866" s="17"/>
      <c r="F866" s="17"/>
      <c r="G866" s="17"/>
      <c r="H866" s="17"/>
      <c r="I866" s="17"/>
      <c r="J866" s="17"/>
      <c r="K866" s="17"/>
      <c r="L866" s="17"/>
      <c r="M866" s="17"/>
      <c r="N866" s="17"/>
      <c r="O866" s="17"/>
      <c r="P866" s="17"/>
      <c r="Q866" s="17"/>
      <c r="R866" s="17"/>
      <c r="S866" s="17"/>
      <c r="T866" s="17"/>
      <c r="U866" s="17"/>
      <c r="V866" s="17"/>
      <c r="W866" s="17"/>
      <c r="X866" s="17"/>
      <c r="Y866" s="17"/>
    </row>
    <row r="867" spans="2:25" x14ac:dyDescent="0.35">
      <c r="B867" s="24" t="s">
        <v>534</v>
      </c>
      <c r="C867" s="17"/>
      <c r="D867" s="17"/>
      <c r="E867" s="17"/>
      <c r="F867" s="17"/>
      <c r="G867" s="17"/>
      <c r="H867" s="17"/>
      <c r="I867" s="17"/>
      <c r="J867" s="17"/>
      <c r="K867" s="17"/>
      <c r="L867" s="17"/>
      <c r="M867" s="17"/>
      <c r="N867" s="17"/>
      <c r="O867" s="17"/>
      <c r="P867" s="17"/>
      <c r="Q867" s="17"/>
      <c r="R867" s="17"/>
      <c r="S867" s="17"/>
      <c r="T867" s="17"/>
      <c r="U867" s="17"/>
      <c r="V867" s="17"/>
      <c r="W867" s="17"/>
      <c r="X867" s="17"/>
      <c r="Y867" s="17"/>
    </row>
    <row r="868" spans="2:25" x14ac:dyDescent="0.35">
      <c r="B868" t="s">
        <v>321</v>
      </c>
      <c r="C868" s="17">
        <v>0.13050886712953</v>
      </c>
      <c r="D868" s="17">
        <v>0.14272752832045599</v>
      </c>
      <c r="E868" s="17">
        <v>0.115272075397807</v>
      </c>
      <c r="F868" s="17"/>
      <c r="G868" s="17">
        <v>0.107472894899211</v>
      </c>
      <c r="H868" s="17">
        <v>0.144997015451999</v>
      </c>
      <c r="I868" s="17">
        <v>0.15201080883843099</v>
      </c>
      <c r="J868" s="17">
        <v>0.117734707722666</v>
      </c>
      <c r="K868" s="17">
        <v>0.12191392604662001</v>
      </c>
      <c r="L868" s="17">
        <v>8.7130446606569406E-2</v>
      </c>
      <c r="M868" s="17"/>
      <c r="N868" s="17">
        <v>0.14743884309815</v>
      </c>
      <c r="O868" s="17">
        <v>8.91370741128059E-2</v>
      </c>
      <c r="P868" s="17">
        <v>0.154367838951565</v>
      </c>
      <c r="Q868" s="17">
        <v>0.14018895419089</v>
      </c>
      <c r="R868" s="17">
        <v>8.2750620711658104E-2</v>
      </c>
      <c r="S868" s="17">
        <v>0.18256625845576299</v>
      </c>
      <c r="T868" s="17">
        <v>7.2339360152139903E-2</v>
      </c>
      <c r="U868" s="17">
        <v>0.144894241806208</v>
      </c>
      <c r="V868" s="17">
        <v>0.15621681176668401</v>
      </c>
      <c r="W868" s="17"/>
      <c r="X868" s="17">
        <v>0.20349920316254699</v>
      </c>
      <c r="Y868" s="17">
        <v>7.0831382845105401E-2</v>
      </c>
    </row>
    <row r="869" spans="2:25" x14ac:dyDescent="0.35">
      <c r="B869" t="s">
        <v>277</v>
      </c>
      <c r="C869" s="17">
        <v>0.31257087372044601</v>
      </c>
      <c r="D869" s="17">
        <v>0.34345023644005601</v>
      </c>
      <c r="E869" s="17">
        <v>0.27620443813495898</v>
      </c>
      <c r="F869" s="17"/>
      <c r="G869" s="17">
        <v>0.32525269714660199</v>
      </c>
      <c r="H869" s="17">
        <v>0.33773012092625498</v>
      </c>
      <c r="I869" s="17">
        <v>0.330058099484351</v>
      </c>
      <c r="J869" s="17">
        <v>0.27706096140710601</v>
      </c>
      <c r="K869" s="17">
        <v>0.29143665320973799</v>
      </c>
      <c r="L869" s="17">
        <v>0.341621174727467</v>
      </c>
      <c r="M869" s="17"/>
      <c r="N869" s="17">
        <v>0.37411991450756898</v>
      </c>
      <c r="O869" s="17">
        <v>0.33796461580673198</v>
      </c>
      <c r="P869" s="17">
        <v>0.26232440400161999</v>
      </c>
      <c r="Q869" s="17">
        <v>0.29110898873283803</v>
      </c>
      <c r="R869" s="17">
        <v>0.30210189763448198</v>
      </c>
      <c r="S869" s="17">
        <v>0.33182176940783897</v>
      </c>
      <c r="T869" s="17">
        <v>0.33117765872274402</v>
      </c>
      <c r="U869" s="17">
        <v>0.33569610462274202</v>
      </c>
      <c r="V869" s="17">
        <v>0.30726225467434198</v>
      </c>
      <c r="W869" s="17"/>
      <c r="X869" s="17">
        <v>0.39246567529564902</v>
      </c>
      <c r="Y869" s="17">
        <v>0.24724824301965501</v>
      </c>
    </row>
    <row r="870" spans="2:25" x14ac:dyDescent="0.35">
      <c r="B870" t="s">
        <v>322</v>
      </c>
      <c r="C870" s="17">
        <v>0.28430586129735402</v>
      </c>
      <c r="D870" s="17">
        <v>0.27889862958437101</v>
      </c>
      <c r="E870" s="17">
        <v>0.28989319881256997</v>
      </c>
      <c r="F870" s="17"/>
      <c r="G870" s="17">
        <v>0.30897998942093102</v>
      </c>
      <c r="H870" s="17">
        <v>0.265376033983583</v>
      </c>
      <c r="I870" s="17">
        <v>0.276519621677075</v>
      </c>
      <c r="J870" s="17">
        <v>0.30434097531848098</v>
      </c>
      <c r="K870" s="17">
        <v>0.27778809782727698</v>
      </c>
      <c r="L870" s="17">
        <v>0.29611555088150299</v>
      </c>
      <c r="M870" s="17"/>
      <c r="N870" s="17">
        <v>0.25898166586164001</v>
      </c>
      <c r="O870" s="17">
        <v>0.30944702781469602</v>
      </c>
      <c r="P870" s="17">
        <v>0.27334566973119201</v>
      </c>
      <c r="Q870" s="17">
        <v>0.26846809860948001</v>
      </c>
      <c r="R870" s="17">
        <v>0.353490459045394</v>
      </c>
      <c r="S870" s="17">
        <v>0.27575037920154399</v>
      </c>
      <c r="T870" s="17">
        <v>0.29403789556188797</v>
      </c>
      <c r="U870" s="17">
        <v>0.25441439625537698</v>
      </c>
      <c r="V870" s="17">
        <v>0.27308519463017</v>
      </c>
      <c r="W870" s="17"/>
      <c r="X870" s="17">
        <v>0.25442445516401901</v>
      </c>
      <c r="Y870" s="17">
        <v>0.30873713866689401</v>
      </c>
    </row>
    <row r="871" spans="2:25" x14ac:dyDescent="0.35">
      <c r="B871" t="s">
        <v>323</v>
      </c>
      <c r="C871" s="17">
        <v>0.26991721480686898</v>
      </c>
      <c r="D871" s="17">
        <v>0.23281996089545401</v>
      </c>
      <c r="E871" s="17">
        <v>0.31519954761591701</v>
      </c>
      <c r="F871" s="17"/>
      <c r="G871" s="17">
        <v>0.24942015463789199</v>
      </c>
      <c r="H871" s="17">
        <v>0.24706556880198899</v>
      </c>
      <c r="I871" s="17">
        <v>0.24024780021682299</v>
      </c>
      <c r="J871" s="17">
        <v>0.29992430541631199</v>
      </c>
      <c r="K871" s="17">
        <v>0.30607969173315402</v>
      </c>
      <c r="L871" s="17">
        <v>0.27513282778446102</v>
      </c>
      <c r="M871" s="17"/>
      <c r="N871" s="17">
        <v>0.219459576532641</v>
      </c>
      <c r="O871" s="17">
        <v>0.26345128226576697</v>
      </c>
      <c r="P871" s="17">
        <v>0.301084557083454</v>
      </c>
      <c r="Q871" s="17">
        <v>0.29173734930231499</v>
      </c>
      <c r="R871" s="17">
        <v>0.26165702260846602</v>
      </c>
      <c r="S871" s="17">
        <v>0.20986159293485401</v>
      </c>
      <c r="T871" s="17">
        <v>0.30244508556322702</v>
      </c>
      <c r="U871" s="17">
        <v>0.26378284322274398</v>
      </c>
      <c r="V871" s="17">
        <v>0.26343573892880501</v>
      </c>
      <c r="W871" s="17"/>
      <c r="X871" s="17">
        <v>0.14921798000636499</v>
      </c>
      <c r="Y871" s="17">
        <v>0.36860187745441397</v>
      </c>
    </row>
    <row r="872" spans="2:25" x14ac:dyDescent="0.35">
      <c r="B872" t="s">
        <v>324</v>
      </c>
      <c r="C872" s="17">
        <v>2.6971830458012102E-3</v>
      </c>
      <c r="D872" s="17">
        <v>2.10364475966232E-3</v>
      </c>
      <c r="E872" s="17">
        <v>3.4307400387470202E-3</v>
      </c>
      <c r="F872" s="17"/>
      <c r="G872" s="17">
        <v>8.87426389536374E-3</v>
      </c>
      <c r="H872" s="17">
        <v>4.8312608361738996E-3</v>
      </c>
      <c r="I872" s="17">
        <v>1.1636697833198699E-3</v>
      </c>
      <c r="J872" s="17">
        <v>9.3905013543472201E-4</v>
      </c>
      <c r="K872" s="17">
        <v>2.7816311832101902E-3</v>
      </c>
      <c r="L872" s="17">
        <v>0</v>
      </c>
      <c r="M872" s="17"/>
      <c r="N872" s="17">
        <v>0</v>
      </c>
      <c r="O872" s="17">
        <v>0</v>
      </c>
      <c r="P872" s="17">
        <v>8.8775302321695299E-3</v>
      </c>
      <c r="Q872" s="17">
        <v>8.4966091644775206E-3</v>
      </c>
      <c r="R872" s="17">
        <v>0</v>
      </c>
      <c r="S872" s="17">
        <v>0</v>
      </c>
      <c r="T872" s="17">
        <v>0</v>
      </c>
      <c r="U872" s="17">
        <v>1.2124140929295299E-3</v>
      </c>
      <c r="V872" s="17">
        <v>0</v>
      </c>
      <c r="W872" s="17"/>
      <c r="X872" s="17">
        <v>3.9268637142090499E-4</v>
      </c>
      <c r="Y872" s="17">
        <v>4.5813580139316698E-3</v>
      </c>
    </row>
    <row r="873" spans="2:25" x14ac:dyDescent="0.35">
      <c r="C873" s="17"/>
      <c r="D873" s="17"/>
      <c r="E873" s="17"/>
      <c r="F873" s="17"/>
      <c r="G873" s="17"/>
      <c r="H873" s="17"/>
      <c r="I873" s="17"/>
      <c r="J873" s="17"/>
      <c r="K873" s="17"/>
      <c r="L873" s="17"/>
      <c r="M873" s="17"/>
      <c r="N873" s="17"/>
      <c r="O873" s="17"/>
      <c r="P873" s="17"/>
      <c r="Q873" s="17"/>
      <c r="R873" s="17"/>
      <c r="S873" s="17"/>
      <c r="T873" s="17"/>
      <c r="U873" s="17"/>
      <c r="V873" s="17"/>
      <c r="W873" s="17"/>
      <c r="X873" s="17"/>
      <c r="Y873" s="17"/>
    </row>
    <row r="874" spans="2:25" x14ac:dyDescent="0.35">
      <c r="B874" s="6" t="s">
        <v>352</v>
      </c>
      <c r="C874" s="17"/>
      <c r="D874" s="17"/>
      <c r="E874" s="17"/>
      <c r="F874" s="17"/>
      <c r="G874" s="17"/>
      <c r="H874" s="17"/>
      <c r="I874" s="17"/>
      <c r="J874" s="17"/>
      <c r="K874" s="17"/>
      <c r="L874" s="17"/>
      <c r="M874" s="17"/>
      <c r="N874" s="17"/>
      <c r="O874" s="17"/>
      <c r="P874" s="17"/>
      <c r="Q874" s="17"/>
      <c r="R874" s="17"/>
      <c r="S874" s="17"/>
      <c r="T874" s="17"/>
      <c r="U874" s="17"/>
      <c r="V874" s="17"/>
      <c r="W874" s="17"/>
      <c r="X874" s="17"/>
      <c r="Y874" s="17"/>
    </row>
    <row r="875" spans="2:25" x14ac:dyDescent="0.35">
      <c r="B875" s="24" t="s">
        <v>534</v>
      </c>
      <c r="C875" s="17"/>
      <c r="D875" s="17"/>
      <c r="E875" s="17"/>
      <c r="F875" s="17"/>
      <c r="G875" s="17"/>
      <c r="H875" s="17"/>
      <c r="I875" s="17"/>
      <c r="J875" s="17"/>
      <c r="K875" s="17"/>
      <c r="L875" s="17"/>
      <c r="M875" s="17"/>
      <c r="N875" s="17"/>
      <c r="O875" s="17"/>
      <c r="P875" s="17"/>
      <c r="Q875" s="17"/>
      <c r="R875" s="17"/>
      <c r="S875" s="17"/>
      <c r="T875" s="17"/>
      <c r="U875" s="17"/>
      <c r="V875" s="17"/>
      <c r="W875" s="17"/>
      <c r="X875" s="17"/>
      <c r="Y875" s="17"/>
    </row>
    <row r="876" spans="2:25" x14ac:dyDescent="0.35">
      <c r="B876" t="s">
        <v>347</v>
      </c>
      <c r="C876" s="17">
        <v>8.6645280335848798E-2</v>
      </c>
      <c r="D876" s="17">
        <v>8.4775495128881204E-2</v>
      </c>
      <c r="E876" s="17">
        <v>8.8783868640181104E-2</v>
      </c>
      <c r="F876" s="17"/>
      <c r="G876" s="17">
        <v>7.3686042159816195E-2</v>
      </c>
      <c r="H876" s="17">
        <v>9.9741939583233005E-2</v>
      </c>
      <c r="I876" s="17">
        <v>9.7902842749684998E-2</v>
      </c>
      <c r="J876" s="17">
        <v>8.7515470297087603E-2</v>
      </c>
      <c r="K876" s="17">
        <v>5.7097635230284001E-2</v>
      </c>
      <c r="L876" s="17">
        <v>9.0858553182534205E-2</v>
      </c>
      <c r="M876" s="17"/>
      <c r="N876" s="17">
        <v>6.5720684494504397E-2</v>
      </c>
      <c r="O876" s="17">
        <v>2.5192513695344799E-2</v>
      </c>
      <c r="P876" s="17">
        <v>7.5953103698440799E-2</v>
      </c>
      <c r="Q876" s="17">
        <v>5.5884031956232802E-2</v>
      </c>
      <c r="R876" s="17">
        <v>8.1490316422072898E-2</v>
      </c>
      <c r="S876" s="17">
        <v>6.9525269724448002E-2</v>
      </c>
      <c r="T876" s="17">
        <v>0.10692874859632399</v>
      </c>
      <c r="U876" s="17">
        <v>0.14563356592020801</v>
      </c>
      <c r="V876" s="17">
        <v>7.9782141186407696E-2</v>
      </c>
      <c r="W876" s="17"/>
      <c r="X876" s="17">
        <v>9.5608738392259196E-2</v>
      </c>
      <c r="Y876" s="17">
        <v>7.9316685122181499E-2</v>
      </c>
    </row>
    <row r="877" spans="2:25" x14ac:dyDescent="0.35">
      <c r="B877" t="s">
        <v>348</v>
      </c>
      <c r="C877" s="17">
        <v>0.23636953071047501</v>
      </c>
      <c r="D877" s="17">
        <v>0.23218738552311599</v>
      </c>
      <c r="E877" s="17">
        <v>0.24270115603529899</v>
      </c>
      <c r="F877" s="17"/>
      <c r="G877" s="17">
        <v>0.24523960674218601</v>
      </c>
      <c r="H877" s="17">
        <v>0.23752011484851199</v>
      </c>
      <c r="I877" s="17">
        <v>0.23711589878861999</v>
      </c>
      <c r="J877" s="17">
        <v>0.243759290599325</v>
      </c>
      <c r="K877" s="17">
        <v>0.23003327126258499</v>
      </c>
      <c r="L877" s="17">
        <v>0.20174399654501801</v>
      </c>
      <c r="M877" s="17"/>
      <c r="N877" s="17">
        <v>0.22054966415093999</v>
      </c>
      <c r="O877" s="17">
        <v>0.144743907834323</v>
      </c>
      <c r="P877" s="17">
        <v>0.25762921513166498</v>
      </c>
      <c r="Q877" s="17">
        <v>0.20723763935424799</v>
      </c>
      <c r="R877" s="17">
        <v>0.24248037606078901</v>
      </c>
      <c r="S877" s="17">
        <v>0.17500830736103501</v>
      </c>
      <c r="T877" s="17">
        <v>0.23779033431017699</v>
      </c>
      <c r="U877" s="17">
        <v>0.32396740939832702</v>
      </c>
      <c r="V877" s="17">
        <v>0.23403206782227101</v>
      </c>
      <c r="W877" s="17"/>
      <c r="X877" s="17">
        <v>0.222825972600941</v>
      </c>
      <c r="Y877" s="17">
        <v>0.247442852470103</v>
      </c>
    </row>
    <row r="878" spans="2:25" x14ac:dyDescent="0.35">
      <c r="B878" t="s">
        <v>349</v>
      </c>
      <c r="C878" s="17">
        <v>0.38472142536898601</v>
      </c>
      <c r="D878" s="17">
        <v>0.385865879070105</v>
      </c>
      <c r="E878" s="17">
        <v>0.38176443855051301</v>
      </c>
      <c r="F878" s="17"/>
      <c r="G878" s="17">
        <v>0.40640535875324102</v>
      </c>
      <c r="H878" s="17">
        <v>0.38292616618709702</v>
      </c>
      <c r="I878" s="17">
        <v>0.39046661656924903</v>
      </c>
      <c r="J878" s="17">
        <v>0.37727117136786498</v>
      </c>
      <c r="K878" s="17">
        <v>0.39881797813505299</v>
      </c>
      <c r="L878" s="17">
        <v>0.32133488276849798</v>
      </c>
      <c r="M878" s="17"/>
      <c r="N878" s="17">
        <v>0.443657984978088</v>
      </c>
      <c r="O878" s="17">
        <v>0.524818866686797</v>
      </c>
      <c r="P878" s="17">
        <v>0.38185415889142799</v>
      </c>
      <c r="Q878" s="17">
        <v>0.419880893565099</v>
      </c>
      <c r="R878" s="17">
        <v>0.34847412055724902</v>
      </c>
      <c r="S878" s="17">
        <v>0.39527317009732299</v>
      </c>
      <c r="T878" s="17">
        <v>0.38820398365409098</v>
      </c>
      <c r="U878" s="17">
        <v>0.30673309928320303</v>
      </c>
      <c r="V878" s="17">
        <v>0.44120978308396103</v>
      </c>
      <c r="W878" s="17"/>
      <c r="X878" s="17">
        <v>0.36948577180180397</v>
      </c>
      <c r="Y878" s="17">
        <v>0.397178217949131</v>
      </c>
    </row>
    <row r="879" spans="2:25" x14ac:dyDescent="0.35">
      <c r="B879" t="s">
        <v>350</v>
      </c>
      <c r="C879" s="17">
        <v>0.29226376358468997</v>
      </c>
      <c r="D879" s="17">
        <v>0.29717124027789699</v>
      </c>
      <c r="E879" s="17">
        <v>0.28675053677400703</v>
      </c>
      <c r="F879" s="17"/>
      <c r="G879" s="17">
        <v>0.274668992344757</v>
      </c>
      <c r="H879" s="17">
        <v>0.27981177938115898</v>
      </c>
      <c r="I879" s="17">
        <v>0.27451464189244601</v>
      </c>
      <c r="J879" s="17">
        <v>0.29145406773572202</v>
      </c>
      <c r="K879" s="17">
        <v>0.31405111537207803</v>
      </c>
      <c r="L879" s="17">
        <v>0.38606256750395002</v>
      </c>
      <c r="M879" s="17"/>
      <c r="N879" s="17">
        <v>0.27007166637646701</v>
      </c>
      <c r="O879" s="17">
        <v>0.30524471178353502</v>
      </c>
      <c r="P879" s="17">
        <v>0.28456352227846698</v>
      </c>
      <c r="Q879" s="17">
        <v>0.31699743512442102</v>
      </c>
      <c r="R879" s="17">
        <v>0.327555186959889</v>
      </c>
      <c r="S879" s="17">
        <v>0.360193252817194</v>
      </c>
      <c r="T879" s="17">
        <v>0.26707693343940703</v>
      </c>
      <c r="U879" s="17">
        <v>0.22366592539826199</v>
      </c>
      <c r="V879" s="17">
        <v>0.24497600790735999</v>
      </c>
      <c r="W879" s="17"/>
      <c r="X879" s="17">
        <v>0.31207951720499599</v>
      </c>
      <c r="Y879" s="17">
        <v>0.27606224445858402</v>
      </c>
    </row>
    <row r="880" spans="2:25" x14ac:dyDescent="0.35">
      <c r="C880" s="17"/>
      <c r="D880" s="17"/>
      <c r="E880" s="17"/>
      <c r="F880" s="17"/>
      <c r="G880" s="17"/>
      <c r="H880" s="17"/>
      <c r="I880" s="17"/>
      <c r="J880" s="17"/>
      <c r="K880" s="17"/>
      <c r="L880" s="17"/>
      <c r="M880" s="17"/>
      <c r="N880" s="17"/>
      <c r="O880" s="17"/>
      <c r="P880" s="17"/>
      <c r="Q880" s="17"/>
      <c r="R880" s="17"/>
      <c r="S880" s="17"/>
      <c r="T880" s="17"/>
      <c r="U880" s="17"/>
      <c r="V880" s="17"/>
      <c r="W880" s="17"/>
      <c r="X880" s="17"/>
      <c r="Y880" s="17"/>
    </row>
    <row r="881" spans="2:25" x14ac:dyDescent="0.35">
      <c r="B881" s="6" t="s">
        <v>353</v>
      </c>
      <c r="C881" s="17"/>
      <c r="D881" s="17"/>
      <c r="E881" s="17"/>
      <c r="F881" s="17"/>
      <c r="G881" s="17"/>
      <c r="H881" s="17"/>
      <c r="I881" s="17"/>
      <c r="J881" s="17"/>
      <c r="K881" s="17"/>
      <c r="L881" s="17"/>
      <c r="M881" s="17"/>
      <c r="N881" s="17"/>
      <c r="O881" s="17"/>
      <c r="P881" s="17"/>
      <c r="Q881" s="17"/>
      <c r="R881" s="17"/>
      <c r="S881" s="17"/>
      <c r="T881" s="17"/>
      <c r="U881" s="17"/>
      <c r="V881" s="17"/>
      <c r="W881" s="17"/>
      <c r="X881" s="17"/>
      <c r="Y881" s="17"/>
    </row>
    <row r="882" spans="2:25" x14ac:dyDescent="0.35">
      <c r="B882" s="24" t="s">
        <v>534</v>
      </c>
      <c r="C882" s="17"/>
      <c r="D882" s="17"/>
      <c r="E882" s="17"/>
      <c r="F882" s="17"/>
      <c r="G882" s="17"/>
      <c r="H882" s="17"/>
      <c r="I882" s="17"/>
      <c r="J882" s="17"/>
      <c r="K882" s="17"/>
      <c r="L882" s="17"/>
      <c r="M882" s="17"/>
      <c r="N882" s="17"/>
      <c r="O882" s="17"/>
      <c r="P882" s="17"/>
      <c r="Q882" s="17"/>
      <c r="R882" s="17"/>
      <c r="S882" s="17"/>
      <c r="T882" s="17"/>
      <c r="U882" s="17"/>
      <c r="V882" s="17"/>
      <c r="W882" s="17"/>
      <c r="X882" s="17"/>
      <c r="Y882" s="17"/>
    </row>
    <row r="883" spans="2:25" x14ac:dyDescent="0.35">
      <c r="B883" t="s">
        <v>347</v>
      </c>
      <c r="C883" s="17">
        <v>9.2192696153004003E-2</v>
      </c>
      <c r="D883" s="17">
        <v>9.3505250902940401E-2</v>
      </c>
      <c r="E883" s="17">
        <v>8.9364765763320697E-2</v>
      </c>
      <c r="F883" s="17"/>
      <c r="G883" s="17">
        <v>0.15218603547847001</v>
      </c>
      <c r="H883" s="17">
        <v>0.11908065867895599</v>
      </c>
      <c r="I883" s="17">
        <v>9.5002952659895404E-2</v>
      </c>
      <c r="J883" s="17">
        <v>7.5279561925133298E-2</v>
      </c>
      <c r="K883" s="17">
        <v>5.8755093112302502E-2</v>
      </c>
      <c r="L883" s="17">
        <v>7.0465884847263197E-2</v>
      </c>
      <c r="M883" s="17"/>
      <c r="N883" s="17">
        <v>6.9289119841372801E-2</v>
      </c>
      <c r="O883" s="17">
        <v>2.3388924933591199E-2</v>
      </c>
      <c r="P883" s="17">
        <v>0.10614015814872101</v>
      </c>
      <c r="Q883" s="17">
        <v>5.5622050555362297E-2</v>
      </c>
      <c r="R883" s="17">
        <v>0.100981070786671</v>
      </c>
      <c r="S883" s="17">
        <v>6.9866249656060406E-2</v>
      </c>
      <c r="T883" s="17">
        <v>9.5716683467226393E-2</v>
      </c>
      <c r="U883" s="17">
        <v>0.154562911341901</v>
      </c>
      <c r="V883" s="17">
        <v>7.0032791107018003E-2</v>
      </c>
      <c r="W883" s="17"/>
      <c r="X883" s="17">
        <v>9.3042663918913804E-2</v>
      </c>
      <c r="Y883" s="17">
        <v>9.1497755688976001E-2</v>
      </c>
    </row>
    <row r="884" spans="2:25" x14ac:dyDescent="0.35">
      <c r="B884" t="s">
        <v>348</v>
      </c>
      <c r="C884" s="17">
        <v>0.211587310028853</v>
      </c>
      <c r="D884" s="17">
        <v>0.21449624703562301</v>
      </c>
      <c r="E884" s="17">
        <v>0.20811705812589201</v>
      </c>
      <c r="F884" s="17"/>
      <c r="G884" s="17">
        <v>0.25141558669823399</v>
      </c>
      <c r="H884" s="17">
        <v>0.231934104227871</v>
      </c>
      <c r="I884" s="17">
        <v>0.22528644689169799</v>
      </c>
      <c r="J884" s="17">
        <v>0.22401489365352301</v>
      </c>
      <c r="K884" s="17">
        <v>0.165145427841665</v>
      </c>
      <c r="L884" s="17">
        <v>0.100205294145288</v>
      </c>
      <c r="M884" s="17"/>
      <c r="N884" s="17">
        <v>0.14402008786224499</v>
      </c>
      <c r="O884" s="17">
        <v>0.18897857547737201</v>
      </c>
      <c r="P884" s="17">
        <v>0.19011591935644001</v>
      </c>
      <c r="Q884" s="17">
        <v>0.153795772680721</v>
      </c>
      <c r="R884" s="17">
        <v>0.27802488438956402</v>
      </c>
      <c r="S884" s="17">
        <v>0.15394594514596299</v>
      </c>
      <c r="T884" s="17">
        <v>0.247996782329621</v>
      </c>
      <c r="U884" s="17">
        <v>0.26844085211412899</v>
      </c>
      <c r="V884" s="17">
        <v>0.21589806134765699</v>
      </c>
      <c r="W884" s="17"/>
      <c r="X884" s="17">
        <v>0.20597391244020499</v>
      </c>
      <c r="Y884" s="17">
        <v>0.216176868929188</v>
      </c>
    </row>
    <row r="885" spans="2:25" x14ac:dyDescent="0.35">
      <c r="B885" t="s">
        <v>349</v>
      </c>
      <c r="C885" s="17">
        <v>0.346064729855453</v>
      </c>
      <c r="D885" s="17">
        <v>0.35697316499993098</v>
      </c>
      <c r="E885" s="17">
        <v>0.33275992181498198</v>
      </c>
      <c r="F885" s="17"/>
      <c r="G885" s="17">
        <v>0.318380793924043</v>
      </c>
      <c r="H885" s="17">
        <v>0.33522231512832001</v>
      </c>
      <c r="I885" s="17">
        <v>0.35779682815452202</v>
      </c>
      <c r="J885" s="17">
        <v>0.34525273912337001</v>
      </c>
      <c r="K885" s="17">
        <v>0.35944034124653501</v>
      </c>
      <c r="L885" s="17">
        <v>0.33470423914025799</v>
      </c>
      <c r="M885" s="17"/>
      <c r="N885" s="17">
        <v>0.50109459350008101</v>
      </c>
      <c r="O885" s="17">
        <v>0.40344924446342401</v>
      </c>
      <c r="P885" s="17">
        <v>0.32271443911389902</v>
      </c>
      <c r="Q885" s="17">
        <v>0.320031805439287</v>
      </c>
      <c r="R885" s="17">
        <v>0.380681626620481</v>
      </c>
      <c r="S885" s="17">
        <v>0.36125206585015401</v>
      </c>
      <c r="T885" s="17">
        <v>0.347833343104546</v>
      </c>
      <c r="U885" s="17">
        <v>0.29826862613295702</v>
      </c>
      <c r="V885" s="17">
        <v>0.36522023948117099</v>
      </c>
      <c r="W885" s="17"/>
      <c r="X885" s="17">
        <v>0.31711505917377197</v>
      </c>
      <c r="Y885" s="17">
        <v>0.36973421284514402</v>
      </c>
    </row>
    <row r="886" spans="2:25" x14ac:dyDescent="0.35">
      <c r="B886" t="s">
        <v>350</v>
      </c>
      <c r="C886" s="17">
        <v>0.35015526396268998</v>
      </c>
      <c r="D886" s="17">
        <v>0.335025337061506</v>
      </c>
      <c r="E886" s="17">
        <v>0.369758254295805</v>
      </c>
      <c r="F886" s="17"/>
      <c r="G886" s="17">
        <v>0.27801758389925402</v>
      </c>
      <c r="H886" s="17">
        <v>0.313762921964853</v>
      </c>
      <c r="I886" s="17">
        <v>0.32191377229388501</v>
      </c>
      <c r="J886" s="17">
        <v>0.35545280529797402</v>
      </c>
      <c r="K886" s="17">
        <v>0.41665913779949698</v>
      </c>
      <c r="L886" s="17">
        <v>0.49462458186719099</v>
      </c>
      <c r="M886" s="17"/>
      <c r="N886" s="17">
        <v>0.28559619879630099</v>
      </c>
      <c r="O886" s="17">
        <v>0.38418325512561302</v>
      </c>
      <c r="P886" s="17">
        <v>0.38102948338094</v>
      </c>
      <c r="Q886" s="17">
        <v>0.47055037132463001</v>
      </c>
      <c r="R886" s="17">
        <v>0.240312418203284</v>
      </c>
      <c r="S886" s="17">
        <v>0.41493573934782302</v>
      </c>
      <c r="T886" s="17">
        <v>0.30845319109860703</v>
      </c>
      <c r="U886" s="17">
        <v>0.27872761041101302</v>
      </c>
      <c r="V886" s="17">
        <v>0.34884890806415397</v>
      </c>
      <c r="W886" s="17"/>
      <c r="X886" s="17">
        <v>0.38386836446710898</v>
      </c>
      <c r="Y886" s="17">
        <v>0.32259116253669201</v>
      </c>
    </row>
    <row r="887" spans="2:25" x14ac:dyDescent="0.35">
      <c r="C887" s="17"/>
      <c r="D887" s="17"/>
      <c r="E887" s="17"/>
      <c r="F887" s="17"/>
      <c r="G887" s="17"/>
      <c r="H887" s="17"/>
      <c r="I887" s="17"/>
      <c r="J887" s="17"/>
      <c r="K887" s="17"/>
      <c r="L887" s="17"/>
      <c r="M887" s="17"/>
      <c r="N887" s="17"/>
      <c r="O887" s="17"/>
      <c r="P887" s="17"/>
      <c r="Q887" s="17"/>
      <c r="R887" s="17"/>
      <c r="S887" s="17"/>
      <c r="T887" s="17"/>
      <c r="U887" s="17"/>
      <c r="V887" s="17"/>
      <c r="W887" s="17"/>
      <c r="X887" s="17"/>
      <c r="Y887" s="17"/>
    </row>
    <row r="888" spans="2:25" x14ac:dyDescent="0.35">
      <c r="B888" s="6" t="s">
        <v>354</v>
      </c>
      <c r="C888" s="17"/>
      <c r="D888" s="17"/>
      <c r="E888" s="17"/>
      <c r="F888" s="17"/>
      <c r="G888" s="17"/>
      <c r="H888" s="17"/>
      <c r="I888" s="17"/>
      <c r="J888" s="17"/>
      <c r="K888" s="17"/>
      <c r="L888" s="17"/>
      <c r="M888" s="17"/>
      <c r="N888" s="17"/>
      <c r="O888" s="17"/>
      <c r="P888" s="17"/>
      <c r="Q888" s="17"/>
      <c r="R888" s="17"/>
      <c r="S888" s="17"/>
      <c r="T888" s="17"/>
      <c r="U888" s="17"/>
      <c r="V888" s="17"/>
      <c r="W888" s="17"/>
      <c r="X888" s="17"/>
      <c r="Y888" s="17"/>
    </row>
    <row r="889" spans="2:25" x14ac:dyDescent="0.35">
      <c r="B889" s="24" t="s">
        <v>534</v>
      </c>
      <c r="C889" s="17"/>
      <c r="D889" s="17"/>
      <c r="E889" s="17"/>
      <c r="F889" s="17"/>
      <c r="G889" s="17"/>
      <c r="H889" s="17"/>
      <c r="I889" s="17"/>
      <c r="J889" s="17"/>
      <c r="K889" s="17"/>
      <c r="L889" s="17"/>
      <c r="M889" s="17"/>
      <c r="N889" s="17"/>
      <c r="O889" s="17"/>
      <c r="P889" s="17"/>
      <c r="Q889" s="17"/>
      <c r="R889" s="17"/>
      <c r="S889" s="17"/>
      <c r="T889" s="17"/>
      <c r="U889" s="17"/>
      <c r="V889" s="17"/>
      <c r="W889" s="17"/>
      <c r="X889" s="17"/>
      <c r="Y889" s="17"/>
    </row>
    <row r="890" spans="2:25" x14ac:dyDescent="0.35">
      <c r="B890" t="s">
        <v>347</v>
      </c>
      <c r="C890" s="17">
        <v>0.11386261874319301</v>
      </c>
      <c r="D890" s="17">
        <v>0.110381663700393</v>
      </c>
      <c r="E890" s="17">
        <v>0.117468040863317</v>
      </c>
      <c r="F890" s="17"/>
      <c r="G890" s="17">
        <v>0.15424063372204999</v>
      </c>
      <c r="H890" s="17">
        <v>0.143103960695247</v>
      </c>
      <c r="I890" s="17">
        <v>0.107134335341127</v>
      </c>
      <c r="J890" s="17">
        <v>9.0700831947921695E-2</v>
      </c>
      <c r="K890" s="17">
        <v>0.10378803784972999</v>
      </c>
      <c r="L890" s="17">
        <v>0.10545168262809899</v>
      </c>
      <c r="M890" s="17"/>
      <c r="N890" s="17">
        <v>8.5120629319423893E-2</v>
      </c>
      <c r="O890" s="17">
        <v>6.9066277809950505E-2</v>
      </c>
      <c r="P890" s="17">
        <v>9.0484606464478201E-2</v>
      </c>
      <c r="Q890" s="17">
        <v>7.7273863590259104E-2</v>
      </c>
      <c r="R890" s="17">
        <v>0.13392752131205601</v>
      </c>
      <c r="S890" s="17">
        <v>7.9807897724244806E-2</v>
      </c>
      <c r="T890" s="17">
        <v>0.103862899436931</v>
      </c>
      <c r="U890" s="17">
        <v>0.213069483525924</v>
      </c>
      <c r="V890" s="17">
        <v>0.12500834330701399</v>
      </c>
      <c r="W890" s="17"/>
      <c r="X890" s="17">
        <v>8.8414174858140696E-2</v>
      </c>
      <c r="Y890" s="17">
        <v>0.13466947061638099</v>
      </c>
    </row>
    <row r="891" spans="2:25" x14ac:dyDescent="0.35">
      <c r="B891" t="s">
        <v>348</v>
      </c>
      <c r="C891" s="17">
        <v>0.23883405603803101</v>
      </c>
      <c r="D891" s="17">
        <v>0.24282620927065299</v>
      </c>
      <c r="E891" s="17">
        <v>0.234216831508751</v>
      </c>
      <c r="F891" s="17"/>
      <c r="G891" s="17">
        <v>0.286772697379098</v>
      </c>
      <c r="H891" s="17">
        <v>0.23254693107854901</v>
      </c>
      <c r="I891" s="17">
        <v>0.232704671966763</v>
      </c>
      <c r="J891" s="17">
        <v>0.261232596662066</v>
      </c>
      <c r="K891" s="17">
        <v>0.22080835199547699</v>
      </c>
      <c r="L891" s="17">
        <v>0.182600565962689</v>
      </c>
      <c r="M891" s="17"/>
      <c r="N891" s="17">
        <v>0.26399703140735098</v>
      </c>
      <c r="O891" s="17">
        <v>0.243215832734619</v>
      </c>
      <c r="P891" s="17">
        <v>0.21661563789463401</v>
      </c>
      <c r="Q891" s="17">
        <v>0.20000930354608601</v>
      </c>
      <c r="R891" s="17">
        <v>0.27324670142370799</v>
      </c>
      <c r="S891" s="17">
        <v>0.173111814558775</v>
      </c>
      <c r="T891" s="17">
        <v>0.25609411749651001</v>
      </c>
      <c r="U891" s="17">
        <v>0.32030856669025298</v>
      </c>
      <c r="V891" s="17">
        <v>0.22300121494708</v>
      </c>
      <c r="W891" s="17"/>
      <c r="X891" s="17">
        <v>0.170979680498831</v>
      </c>
      <c r="Y891" s="17">
        <v>0.294312337820956</v>
      </c>
    </row>
    <row r="892" spans="2:25" x14ac:dyDescent="0.35">
      <c r="B892" t="s">
        <v>349</v>
      </c>
      <c r="C892" s="17">
        <v>0.31024663160121002</v>
      </c>
      <c r="D892" s="17">
        <v>0.31311266505205898</v>
      </c>
      <c r="E892" s="17">
        <v>0.30711975601214903</v>
      </c>
      <c r="F892" s="17"/>
      <c r="G892" s="17">
        <v>0.30454542431649601</v>
      </c>
      <c r="H892" s="17">
        <v>0.31036107897920301</v>
      </c>
      <c r="I892" s="17">
        <v>0.33909813568925901</v>
      </c>
      <c r="J892" s="17">
        <v>0.32031229014774898</v>
      </c>
      <c r="K892" s="17">
        <v>0.29279210631416802</v>
      </c>
      <c r="L892" s="17">
        <v>0.19149409334478201</v>
      </c>
      <c r="M892" s="17"/>
      <c r="N892" s="17">
        <v>0.307556972519196</v>
      </c>
      <c r="O892" s="17">
        <v>0.32518076684355601</v>
      </c>
      <c r="P892" s="17">
        <v>0.377492605822079</v>
      </c>
      <c r="Q892" s="17">
        <v>0.30994207254959599</v>
      </c>
      <c r="R892" s="17">
        <v>0.31402112376005498</v>
      </c>
      <c r="S892" s="17">
        <v>0.32727855942234302</v>
      </c>
      <c r="T892" s="17">
        <v>0.30079963447748398</v>
      </c>
      <c r="U892" s="17">
        <v>0.23130038630466199</v>
      </c>
      <c r="V892" s="17">
        <v>0.316185067668876</v>
      </c>
      <c r="W892" s="17"/>
      <c r="X892" s="17">
        <v>0.28252658406036701</v>
      </c>
      <c r="Y892" s="17">
        <v>0.33291076484665599</v>
      </c>
    </row>
    <row r="893" spans="2:25" x14ac:dyDescent="0.35">
      <c r="B893" t="s">
        <v>350</v>
      </c>
      <c r="C893" s="17">
        <v>0.33705669361756602</v>
      </c>
      <c r="D893" s="17">
        <v>0.33367946197689402</v>
      </c>
      <c r="E893" s="17">
        <v>0.34119537161578301</v>
      </c>
      <c r="F893" s="17"/>
      <c r="G893" s="17">
        <v>0.25444124458235701</v>
      </c>
      <c r="H893" s="17">
        <v>0.31398802924700098</v>
      </c>
      <c r="I893" s="17">
        <v>0.32106285700285098</v>
      </c>
      <c r="J893" s="17">
        <v>0.32775428124226302</v>
      </c>
      <c r="K893" s="17">
        <v>0.38261150384062498</v>
      </c>
      <c r="L893" s="17">
        <v>0.520453658064431</v>
      </c>
      <c r="M893" s="17"/>
      <c r="N893" s="17">
        <v>0.34332536675402903</v>
      </c>
      <c r="O893" s="17">
        <v>0.36253712261187498</v>
      </c>
      <c r="P893" s="17">
        <v>0.31540714981880902</v>
      </c>
      <c r="Q893" s="17">
        <v>0.41277476031405902</v>
      </c>
      <c r="R893" s="17">
        <v>0.27880465350418199</v>
      </c>
      <c r="S893" s="17">
        <v>0.41980172829463802</v>
      </c>
      <c r="T893" s="17">
        <v>0.33924334858907401</v>
      </c>
      <c r="U893" s="17">
        <v>0.235321563479161</v>
      </c>
      <c r="V893" s="17">
        <v>0.33580537407703098</v>
      </c>
      <c r="W893" s="17"/>
      <c r="X893" s="17">
        <v>0.45807956058266103</v>
      </c>
      <c r="Y893" s="17">
        <v>0.23810742671600599</v>
      </c>
    </row>
    <row r="894" spans="2:25" x14ac:dyDescent="0.35">
      <c r="C894" s="17"/>
      <c r="D894" s="17"/>
      <c r="E894" s="17"/>
      <c r="F894" s="17"/>
      <c r="G894" s="17"/>
      <c r="H894" s="17"/>
      <c r="I894" s="17"/>
      <c r="J894" s="17"/>
      <c r="K894" s="17"/>
      <c r="L894" s="17"/>
      <c r="M894" s="17"/>
      <c r="N894" s="17"/>
      <c r="O894" s="17"/>
      <c r="P894" s="17"/>
      <c r="Q894" s="17"/>
      <c r="R894" s="17"/>
      <c r="S894" s="17"/>
      <c r="T894" s="17"/>
      <c r="U894" s="17"/>
      <c r="V894" s="17"/>
      <c r="W894" s="17"/>
      <c r="X894" s="17"/>
      <c r="Y894" s="17"/>
    </row>
    <row r="895" spans="2:25" x14ac:dyDescent="0.35">
      <c r="B895" s="6" t="s">
        <v>355</v>
      </c>
      <c r="C895" s="17"/>
      <c r="D895" s="17"/>
      <c r="E895" s="17"/>
      <c r="F895" s="17"/>
      <c r="G895" s="17"/>
      <c r="H895" s="17"/>
      <c r="I895" s="17"/>
      <c r="J895" s="17"/>
      <c r="K895" s="17"/>
      <c r="L895" s="17"/>
      <c r="M895" s="17"/>
      <c r="N895" s="17"/>
      <c r="O895" s="17"/>
      <c r="P895" s="17"/>
      <c r="Q895" s="17"/>
      <c r="R895" s="17"/>
      <c r="S895" s="17"/>
      <c r="T895" s="17"/>
      <c r="U895" s="17"/>
      <c r="V895" s="17"/>
      <c r="W895" s="17"/>
      <c r="X895" s="17"/>
      <c r="Y895" s="17"/>
    </row>
    <row r="896" spans="2:25" x14ac:dyDescent="0.35">
      <c r="B896" s="24" t="s">
        <v>534</v>
      </c>
      <c r="C896" s="17"/>
      <c r="D896" s="17"/>
      <c r="E896" s="17"/>
      <c r="F896" s="17"/>
      <c r="G896" s="17"/>
      <c r="H896" s="17"/>
      <c r="I896" s="17"/>
      <c r="J896" s="17"/>
      <c r="K896" s="17"/>
      <c r="L896" s="17"/>
      <c r="M896" s="17"/>
      <c r="N896" s="17"/>
      <c r="O896" s="17"/>
      <c r="P896" s="17"/>
      <c r="Q896" s="17"/>
      <c r="R896" s="17"/>
      <c r="S896" s="17"/>
      <c r="T896" s="17"/>
      <c r="U896" s="17"/>
      <c r="V896" s="17"/>
      <c r="W896" s="17"/>
      <c r="X896" s="17"/>
      <c r="Y896" s="17"/>
    </row>
    <row r="897" spans="2:25" x14ac:dyDescent="0.35">
      <c r="B897" t="s">
        <v>347</v>
      </c>
      <c r="C897" s="17">
        <v>6.0066386884477699E-2</v>
      </c>
      <c r="D897" s="17">
        <v>5.6357014191682299E-2</v>
      </c>
      <c r="E897" s="17">
        <v>6.4333517806492102E-2</v>
      </c>
      <c r="F897" s="17"/>
      <c r="G897" s="17">
        <v>4.67020699382256E-2</v>
      </c>
      <c r="H897" s="17">
        <v>7.95233195085739E-2</v>
      </c>
      <c r="I897" s="17">
        <v>7.7635133269967793E-2</v>
      </c>
      <c r="J897" s="17">
        <v>4.9982681426419699E-2</v>
      </c>
      <c r="K897" s="17">
        <v>3.8787744879625698E-2</v>
      </c>
      <c r="L897" s="17">
        <v>3.0646810831209299E-2</v>
      </c>
      <c r="M897" s="17"/>
      <c r="N897" s="17">
        <v>6.3336848841179696E-2</v>
      </c>
      <c r="O897" s="17">
        <v>5.2840418819305804E-3</v>
      </c>
      <c r="P897" s="17">
        <v>6.4018530691616699E-2</v>
      </c>
      <c r="Q897" s="17">
        <v>5.7853669415453703E-2</v>
      </c>
      <c r="R897" s="17">
        <v>5.5770474062362699E-2</v>
      </c>
      <c r="S897" s="17">
        <v>4.6789882228905802E-2</v>
      </c>
      <c r="T897" s="17">
        <v>5.6606032697296201E-2</v>
      </c>
      <c r="U897" s="17">
        <v>8.9556332429680696E-2</v>
      </c>
      <c r="V897" s="17">
        <v>5.9493454086173597E-2</v>
      </c>
      <c r="W897" s="17"/>
      <c r="X897" s="17">
        <v>6.5134701274376899E-2</v>
      </c>
      <c r="Y897" s="17">
        <v>5.5922492380211797E-2</v>
      </c>
    </row>
    <row r="898" spans="2:25" x14ac:dyDescent="0.35">
      <c r="B898" t="s">
        <v>348</v>
      </c>
      <c r="C898" s="17">
        <v>0.17793540452880299</v>
      </c>
      <c r="D898" s="17">
        <v>0.17351795218242499</v>
      </c>
      <c r="E898" s="17">
        <v>0.18306866651720799</v>
      </c>
      <c r="F898" s="17"/>
      <c r="G898" s="17">
        <v>0.20967275094194501</v>
      </c>
      <c r="H898" s="17">
        <v>0.19967523774144399</v>
      </c>
      <c r="I898" s="17">
        <v>0.21169185694897699</v>
      </c>
      <c r="J898" s="17">
        <v>0.16399157262761799</v>
      </c>
      <c r="K898" s="17">
        <v>0.124282841438993</v>
      </c>
      <c r="L898" s="17">
        <v>0.12550362361869</v>
      </c>
      <c r="M898" s="17"/>
      <c r="N898" s="17">
        <v>0.13688067952076499</v>
      </c>
      <c r="O898" s="17">
        <v>0.12597288879951099</v>
      </c>
      <c r="P898" s="17">
        <v>0.157902357267688</v>
      </c>
      <c r="Q898" s="17">
        <v>0.17245055846330601</v>
      </c>
      <c r="R898" s="17">
        <v>0.17297586369632101</v>
      </c>
      <c r="S898" s="17">
        <v>0.16154610831917099</v>
      </c>
      <c r="T898" s="17">
        <v>0.18801969623879899</v>
      </c>
      <c r="U898" s="17">
        <v>0.23044871015850599</v>
      </c>
      <c r="V898" s="17">
        <v>0.17696647501422499</v>
      </c>
      <c r="W898" s="17"/>
      <c r="X898" s="17">
        <v>0.197190046296257</v>
      </c>
      <c r="Y898" s="17">
        <v>0.162192654954946</v>
      </c>
    </row>
    <row r="899" spans="2:25" x14ac:dyDescent="0.35">
      <c r="B899" t="s">
        <v>349</v>
      </c>
      <c r="C899" s="17">
        <v>0.35314378328187801</v>
      </c>
      <c r="D899" s="17">
        <v>0.36769900889755602</v>
      </c>
      <c r="E899" s="17">
        <v>0.334959455664679</v>
      </c>
      <c r="F899" s="17"/>
      <c r="G899" s="17">
        <v>0.34630143300375499</v>
      </c>
      <c r="H899" s="17">
        <v>0.37749527188214199</v>
      </c>
      <c r="I899" s="17">
        <v>0.35178093620421402</v>
      </c>
      <c r="J899" s="17">
        <v>0.35962920892190597</v>
      </c>
      <c r="K899" s="17">
        <v>0.334804675935301</v>
      </c>
      <c r="L899" s="17">
        <v>0.295278775575532</v>
      </c>
      <c r="M899" s="17"/>
      <c r="N899" s="17">
        <v>0.39263880555487102</v>
      </c>
      <c r="O899" s="17">
        <v>0.45668064986915302</v>
      </c>
      <c r="P899" s="17">
        <v>0.42085111720020202</v>
      </c>
      <c r="Q899" s="17">
        <v>0.244363843626932</v>
      </c>
      <c r="R899" s="17">
        <v>0.35307018547303698</v>
      </c>
      <c r="S899" s="17">
        <v>0.36977638339587698</v>
      </c>
      <c r="T899" s="17">
        <v>0.34938693392625603</v>
      </c>
      <c r="U899" s="17">
        <v>0.36510027911384602</v>
      </c>
      <c r="V899" s="17">
        <v>0.34441444607256799</v>
      </c>
      <c r="W899" s="17"/>
      <c r="X899" s="17">
        <v>0.318029801809529</v>
      </c>
      <c r="Y899" s="17">
        <v>0.38185325622541699</v>
      </c>
    </row>
    <row r="900" spans="2:25" x14ac:dyDescent="0.35">
      <c r="B900" t="s">
        <v>350</v>
      </c>
      <c r="C900" s="17">
        <v>0.40885442530484101</v>
      </c>
      <c r="D900" s="17">
        <v>0.402426024728337</v>
      </c>
      <c r="E900" s="17">
        <v>0.41763836001162102</v>
      </c>
      <c r="F900" s="17"/>
      <c r="G900" s="17">
        <v>0.39732374611607402</v>
      </c>
      <c r="H900" s="17">
        <v>0.34330617086783899</v>
      </c>
      <c r="I900" s="17">
        <v>0.358892073576842</v>
      </c>
      <c r="J900" s="17">
        <v>0.426396537024056</v>
      </c>
      <c r="K900" s="17">
        <v>0.50212473774608102</v>
      </c>
      <c r="L900" s="17">
        <v>0.54857078997456898</v>
      </c>
      <c r="M900" s="17"/>
      <c r="N900" s="17">
        <v>0.40714366608318397</v>
      </c>
      <c r="O900" s="17">
        <v>0.41206241944940503</v>
      </c>
      <c r="P900" s="17">
        <v>0.357227994840494</v>
      </c>
      <c r="Q900" s="17">
        <v>0.52533192849430799</v>
      </c>
      <c r="R900" s="17">
        <v>0.41818347676827899</v>
      </c>
      <c r="S900" s="17">
        <v>0.42188762605604602</v>
      </c>
      <c r="T900" s="17">
        <v>0.40598733713764801</v>
      </c>
      <c r="U900" s="17">
        <v>0.31489467829796702</v>
      </c>
      <c r="V900" s="17">
        <v>0.41912562482703403</v>
      </c>
      <c r="W900" s="17"/>
      <c r="X900" s="17">
        <v>0.41964545061983699</v>
      </c>
      <c r="Y900" s="17">
        <v>0.40003159643942499</v>
      </c>
    </row>
    <row r="901" spans="2:25" x14ac:dyDescent="0.35">
      <c r="C901" s="17"/>
      <c r="D901" s="17"/>
      <c r="E901" s="17"/>
      <c r="F901" s="17"/>
      <c r="G901" s="17"/>
      <c r="H901" s="17"/>
      <c r="I901" s="17"/>
      <c r="J901" s="17"/>
      <c r="K901" s="17"/>
      <c r="L901" s="17"/>
      <c r="M901" s="17"/>
      <c r="N901" s="17"/>
      <c r="O901" s="17"/>
      <c r="P901" s="17"/>
      <c r="Q901" s="17"/>
      <c r="R901" s="17"/>
      <c r="S901" s="17"/>
      <c r="T901" s="17"/>
      <c r="U901" s="17"/>
      <c r="V901" s="17"/>
      <c r="W901" s="17"/>
      <c r="X901" s="17"/>
      <c r="Y901" s="17"/>
    </row>
    <row r="902" spans="2:25" x14ac:dyDescent="0.35">
      <c r="B902" s="6" t="s">
        <v>356</v>
      </c>
      <c r="C902" s="17"/>
      <c r="D902" s="17"/>
      <c r="E902" s="17"/>
      <c r="F902" s="17"/>
      <c r="G902" s="17"/>
      <c r="H902" s="17"/>
      <c r="I902" s="17"/>
      <c r="J902" s="17"/>
      <c r="K902" s="17"/>
      <c r="L902" s="17"/>
      <c r="M902" s="17"/>
      <c r="N902" s="17"/>
      <c r="O902" s="17"/>
      <c r="P902" s="17"/>
      <c r="Q902" s="17"/>
      <c r="R902" s="17"/>
      <c r="S902" s="17"/>
      <c r="T902" s="17"/>
      <c r="U902" s="17"/>
      <c r="V902" s="17"/>
      <c r="W902" s="17"/>
      <c r="X902" s="17"/>
      <c r="Y902" s="17"/>
    </row>
    <row r="903" spans="2:25" x14ac:dyDescent="0.35">
      <c r="B903" s="24" t="s">
        <v>534</v>
      </c>
      <c r="C903" s="17"/>
      <c r="D903" s="17"/>
      <c r="E903" s="17"/>
      <c r="F903" s="17"/>
      <c r="G903" s="17"/>
      <c r="H903" s="17"/>
      <c r="I903" s="17"/>
      <c r="J903" s="17"/>
      <c r="K903" s="17"/>
      <c r="L903" s="17"/>
      <c r="M903" s="17"/>
      <c r="N903" s="17"/>
      <c r="O903" s="17"/>
      <c r="P903" s="17"/>
      <c r="Q903" s="17"/>
      <c r="R903" s="17"/>
      <c r="S903" s="17"/>
      <c r="T903" s="17"/>
      <c r="U903" s="17"/>
      <c r="V903" s="17"/>
      <c r="W903" s="17"/>
      <c r="X903" s="17"/>
      <c r="Y903" s="17"/>
    </row>
    <row r="904" spans="2:25" x14ac:dyDescent="0.35">
      <c r="B904" t="s">
        <v>347</v>
      </c>
      <c r="C904" s="17">
        <v>0.103227258033924</v>
      </c>
      <c r="D904" s="17">
        <v>9.2855242026618198E-2</v>
      </c>
      <c r="E904" s="17">
        <v>0.114210296249523</v>
      </c>
      <c r="F904" s="17"/>
      <c r="G904" s="17">
        <v>0.113816241377192</v>
      </c>
      <c r="H904" s="17">
        <v>0.125995696863198</v>
      </c>
      <c r="I904" s="17">
        <v>0.10367978563169999</v>
      </c>
      <c r="J904" s="17">
        <v>9.49852924914555E-2</v>
      </c>
      <c r="K904" s="17">
        <v>9.0638551698668204E-2</v>
      </c>
      <c r="L904" s="17">
        <v>6.8895931873143995E-2</v>
      </c>
      <c r="M904" s="17"/>
      <c r="N904" s="17">
        <v>8.1154344837816E-2</v>
      </c>
      <c r="O904" s="17">
        <v>3.8245105099652302E-2</v>
      </c>
      <c r="P904" s="17">
        <v>0.12597448422903601</v>
      </c>
      <c r="Q904" s="17">
        <v>7.2695068013503894E-2</v>
      </c>
      <c r="R904" s="17">
        <v>0.11904878891595801</v>
      </c>
      <c r="S904" s="17">
        <v>7.8527048020964302E-2</v>
      </c>
      <c r="T904" s="17">
        <v>7.0093069451701101E-2</v>
      </c>
      <c r="U904" s="17">
        <v>0.17769357940730901</v>
      </c>
      <c r="V904" s="17">
        <v>0.10773853347019401</v>
      </c>
      <c r="W904" s="17"/>
      <c r="X904" s="17">
        <v>8.3875682101413801E-2</v>
      </c>
      <c r="Y904" s="17">
        <v>0.11904926175875701</v>
      </c>
    </row>
    <row r="905" spans="2:25" x14ac:dyDescent="0.35">
      <c r="B905" t="s">
        <v>348</v>
      </c>
      <c r="C905" s="17">
        <v>0.183275114103266</v>
      </c>
      <c r="D905" s="17">
        <v>0.18125889835904399</v>
      </c>
      <c r="E905" s="17">
        <v>0.18602569419753501</v>
      </c>
      <c r="F905" s="17"/>
      <c r="G905" s="17">
        <v>0.325821619975733</v>
      </c>
      <c r="H905" s="17">
        <v>0.20806156316437699</v>
      </c>
      <c r="I905" s="17">
        <v>0.16312721165549299</v>
      </c>
      <c r="J905" s="17">
        <v>0.183087294886875</v>
      </c>
      <c r="K905" s="17">
        <v>0.134514225312557</v>
      </c>
      <c r="L905" s="17">
        <v>0.136071713464747</v>
      </c>
      <c r="M905" s="17"/>
      <c r="N905" s="17">
        <v>0.24272413015935301</v>
      </c>
      <c r="O905" s="17">
        <v>0.17598677240484301</v>
      </c>
      <c r="P905" s="17">
        <v>0.16535943792548199</v>
      </c>
      <c r="Q905" s="17">
        <v>0.15894858216411101</v>
      </c>
      <c r="R905" s="17">
        <v>0.171768574265071</v>
      </c>
      <c r="S905" s="17">
        <v>0.142338918645631</v>
      </c>
      <c r="T905" s="17">
        <v>0.235793184919941</v>
      </c>
      <c r="U905" s="17">
        <v>0.20074673059522699</v>
      </c>
      <c r="V905" s="17">
        <v>0.198157622275525</v>
      </c>
      <c r="W905" s="17"/>
      <c r="X905" s="17">
        <v>0.19211953489771999</v>
      </c>
      <c r="Y905" s="17">
        <v>0.17604384470991499</v>
      </c>
    </row>
    <row r="906" spans="2:25" x14ac:dyDescent="0.35">
      <c r="B906" t="s">
        <v>349</v>
      </c>
      <c r="C906" s="17">
        <v>0.28652206455500401</v>
      </c>
      <c r="D906" s="17">
        <v>0.29186155366142502</v>
      </c>
      <c r="E906" s="17">
        <v>0.28086181999204402</v>
      </c>
      <c r="F906" s="17"/>
      <c r="G906" s="17">
        <v>0.27459288117478098</v>
      </c>
      <c r="H906" s="17">
        <v>0.27785796467328699</v>
      </c>
      <c r="I906" s="17">
        <v>0.33566485869683199</v>
      </c>
      <c r="J906" s="17">
        <v>0.28295545506245501</v>
      </c>
      <c r="K906" s="17">
        <v>0.26485984135125601</v>
      </c>
      <c r="L906" s="17">
        <v>0.196592122946746</v>
      </c>
      <c r="M906" s="17"/>
      <c r="N906" s="17">
        <v>0.26741197740990802</v>
      </c>
      <c r="O906" s="17">
        <v>0.32013332206289702</v>
      </c>
      <c r="P906" s="17">
        <v>0.30943942574363598</v>
      </c>
      <c r="Q906" s="17">
        <v>0.233821834714835</v>
      </c>
      <c r="R906" s="17">
        <v>0.23564339857636499</v>
      </c>
      <c r="S906" s="17">
        <v>0.30649118319406898</v>
      </c>
      <c r="T906" s="17">
        <v>0.32571348660767202</v>
      </c>
      <c r="U906" s="17">
        <v>0.288293074681922</v>
      </c>
      <c r="V906" s="17">
        <v>0.30123889354065703</v>
      </c>
      <c r="W906" s="17"/>
      <c r="X906" s="17">
        <v>0.27598775827315503</v>
      </c>
      <c r="Y906" s="17">
        <v>0.29513499787946501</v>
      </c>
    </row>
    <row r="907" spans="2:25" x14ac:dyDescent="0.35">
      <c r="B907" t="s">
        <v>350</v>
      </c>
      <c r="C907" s="17">
        <v>0.42697556330780601</v>
      </c>
      <c r="D907" s="17">
        <v>0.43402430595291303</v>
      </c>
      <c r="E907" s="17">
        <v>0.41890218956089798</v>
      </c>
      <c r="F907" s="17"/>
      <c r="G907" s="17">
        <v>0.28576925747229398</v>
      </c>
      <c r="H907" s="17">
        <v>0.38808477529913898</v>
      </c>
      <c r="I907" s="17">
        <v>0.39752814401597503</v>
      </c>
      <c r="J907" s="17">
        <v>0.43897195755921498</v>
      </c>
      <c r="K907" s="17">
        <v>0.509987381637519</v>
      </c>
      <c r="L907" s="17">
        <v>0.59844023171536298</v>
      </c>
      <c r="M907" s="17"/>
      <c r="N907" s="17">
        <v>0.40870954759292299</v>
      </c>
      <c r="O907" s="17">
        <v>0.46563480043260702</v>
      </c>
      <c r="P907" s="17">
        <v>0.39922665210184599</v>
      </c>
      <c r="Q907" s="17">
        <v>0.53453451510755001</v>
      </c>
      <c r="R907" s="17">
        <v>0.47353923824260702</v>
      </c>
      <c r="S907" s="17">
        <v>0.47264285013933499</v>
      </c>
      <c r="T907" s="17">
        <v>0.36840025902068702</v>
      </c>
      <c r="U907" s="17">
        <v>0.33326661531554203</v>
      </c>
      <c r="V907" s="17">
        <v>0.39286495071362498</v>
      </c>
      <c r="W907" s="17"/>
      <c r="X907" s="17">
        <v>0.44801702472770999</v>
      </c>
      <c r="Y907" s="17">
        <v>0.40977189565186201</v>
      </c>
    </row>
    <row r="908" spans="2:25" x14ac:dyDescent="0.35">
      <c r="C908" s="17"/>
      <c r="D908" s="17"/>
      <c r="E908" s="17"/>
      <c r="F908" s="17"/>
      <c r="G908" s="17"/>
      <c r="H908" s="17"/>
      <c r="I908" s="17"/>
      <c r="J908" s="17"/>
      <c r="K908" s="17"/>
      <c r="L908" s="17"/>
      <c r="M908" s="17"/>
      <c r="N908" s="17"/>
      <c r="O908" s="17"/>
      <c r="P908" s="17"/>
      <c r="Q908" s="17"/>
      <c r="R908" s="17"/>
      <c r="S908" s="17"/>
      <c r="T908" s="17"/>
      <c r="U908" s="17"/>
      <c r="V908" s="17"/>
      <c r="W908" s="17"/>
      <c r="X908" s="17"/>
      <c r="Y908" s="17"/>
    </row>
    <row r="909" spans="2:25" x14ac:dyDescent="0.35">
      <c r="B909" s="6" t="s">
        <v>357</v>
      </c>
      <c r="C909" s="17"/>
      <c r="D909" s="17"/>
      <c r="E909" s="17"/>
      <c r="F909" s="17"/>
      <c r="G909" s="17"/>
      <c r="H909" s="17"/>
      <c r="I909" s="17"/>
      <c r="J909" s="17"/>
      <c r="K909" s="17"/>
      <c r="L909" s="17"/>
      <c r="M909" s="17"/>
      <c r="N909" s="17"/>
      <c r="O909" s="17"/>
      <c r="P909" s="17"/>
      <c r="Q909" s="17"/>
      <c r="R909" s="17"/>
      <c r="S909" s="17"/>
      <c r="T909" s="17"/>
      <c r="U909" s="17"/>
      <c r="V909" s="17"/>
      <c r="W909" s="17"/>
      <c r="X909" s="17"/>
      <c r="Y909" s="17"/>
    </row>
    <row r="910" spans="2:25" x14ac:dyDescent="0.35">
      <c r="B910" s="24" t="s">
        <v>534</v>
      </c>
      <c r="C910" s="17"/>
      <c r="D910" s="17"/>
      <c r="E910" s="17"/>
      <c r="F910" s="17"/>
      <c r="G910" s="17"/>
      <c r="H910" s="17"/>
      <c r="I910" s="17"/>
      <c r="J910" s="17"/>
      <c r="K910" s="17"/>
      <c r="L910" s="17"/>
      <c r="M910" s="17"/>
      <c r="N910" s="17"/>
      <c r="O910" s="17"/>
      <c r="P910" s="17"/>
      <c r="Q910" s="17"/>
      <c r="R910" s="17"/>
      <c r="S910" s="17"/>
      <c r="T910" s="17"/>
      <c r="U910" s="17"/>
      <c r="V910" s="17"/>
      <c r="W910" s="17"/>
      <c r="X910" s="17"/>
      <c r="Y910" s="17"/>
    </row>
    <row r="911" spans="2:25" x14ac:dyDescent="0.35">
      <c r="B911" t="s">
        <v>347</v>
      </c>
      <c r="C911" s="17">
        <v>9.4488599381754398E-2</v>
      </c>
      <c r="D911" s="17">
        <v>8.6332137923502E-2</v>
      </c>
      <c r="E911" s="17">
        <v>0.102740534460747</v>
      </c>
      <c r="F911" s="17"/>
      <c r="G911" s="17">
        <v>0.14418305039036999</v>
      </c>
      <c r="H911" s="17">
        <v>0.126541721808378</v>
      </c>
      <c r="I911" s="17">
        <v>8.2325717839850293E-2</v>
      </c>
      <c r="J911" s="17">
        <v>8.1101659921532704E-2</v>
      </c>
      <c r="K911" s="17">
        <v>6.92931759001187E-2</v>
      </c>
      <c r="L911" s="17">
        <v>9.1862556000933099E-2</v>
      </c>
      <c r="M911" s="17"/>
      <c r="N911" s="17">
        <v>8.3937072812908603E-2</v>
      </c>
      <c r="O911" s="17">
        <v>5.1486889496054303E-2</v>
      </c>
      <c r="P911" s="17">
        <v>9.8937440072211905E-2</v>
      </c>
      <c r="Q911" s="17">
        <v>6.5042734035458599E-2</v>
      </c>
      <c r="R911" s="17">
        <v>9.7936583645878095E-2</v>
      </c>
      <c r="S911" s="17">
        <v>7.1315800551055297E-2</v>
      </c>
      <c r="T911" s="17">
        <v>8.23108123436216E-2</v>
      </c>
      <c r="U911" s="17">
        <v>0.15987199534695301</v>
      </c>
      <c r="V911" s="17">
        <v>0.108685887224971</v>
      </c>
      <c r="W911" s="17"/>
      <c r="X911" s="17">
        <v>9.6702328210640495E-2</v>
      </c>
      <c r="Y911" s="17">
        <v>9.2678636932258807E-2</v>
      </c>
    </row>
    <row r="912" spans="2:25" x14ac:dyDescent="0.35">
      <c r="B912" t="s">
        <v>348</v>
      </c>
      <c r="C912" s="17">
        <v>0.23022681469956799</v>
      </c>
      <c r="D912" s="17">
        <v>0.227077631643859</v>
      </c>
      <c r="E912" s="17">
        <v>0.23405823228792999</v>
      </c>
      <c r="F912" s="17"/>
      <c r="G912" s="17">
        <v>0.33969542886000897</v>
      </c>
      <c r="H912" s="17">
        <v>0.295195151660337</v>
      </c>
      <c r="I912" s="17">
        <v>0.238996838155489</v>
      </c>
      <c r="J912" s="17">
        <v>0.21050618963787199</v>
      </c>
      <c r="K912" s="17">
        <v>0.150503418057857</v>
      </c>
      <c r="L912" s="17">
        <v>0.114947457656202</v>
      </c>
      <c r="M912" s="17"/>
      <c r="N912" s="17">
        <v>0.29683811838666302</v>
      </c>
      <c r="O912" s="17">
        <v>0.223366244109588</v>
      </c>
      <c r="P912" s="17">
        <v>0.21487777950975401</v>
      </c>
      <c r="Q912" s="17">
        <v>0.20140462019069699</v>
      </c>
      <c r="R912" s="17">
        <v>0.25698395674839603</v>
      </c>
      <c r="S912" s="17">
        <v>0.17064663887013101</v>
      </c>
      <c r="T912" s="17">
        <v>0.28390659251137002</v>
      </c>
      <c r="U912" s="17">
        <v>0.247370165681851</v>
      </c>
      <c r="V912" s="17">
        <v>0.21229272233320301</v>
      </c>
      <c r="W912" s="17"/>
      <c r="X912" s="17">
        <v>0.22345017054382299</v>
      </c>
      <c r="Y912" s="17">
        <v>0.23576745332497101</v>
      </c>
    </row>
    <row r="913" spans="2:25" x14ac:dyDescent="0.35">
      <c r="B913" t="s">
        <v>349</v>
      </c>
      <c r="C913" s="17">
        <v>0.33189290849535702</v>
      </c>
      <c r="D913" s="17">
        <v>0.33507284006131899</v>
      </c>
      <c r="E913" s="17">
        <v>0.32841913524585398</v>
      </c>
      <c r="F913" s="17"/>
      <c r="G913" s="17">
        <v>0.36347036403844601</v>
      </c>
      <c r="H913" s="17">
        <v>0.31292549747661103</v>
      </c>
      <c r="I913" s="17">
        <v>0.357108980867403</v>
      </c>
      <c r="J913" s="17">
        <v>0.34080232397375698</v>
      </c>
      <c r="K913" s="17">
        <v>0.33347548028220197</v>
      </c>
      <c r="L913" s="17">
        <v>0.20101847396922101</v>
      </c>
      <c r="M913" s="17"/>
      <c r="N913" s="17">
        <v>0.29531866468490198</v>
      </c>
      <c r="O913" s="17">
        <v>0.40548641371532301</v>
      </c>
      <c r="P913" s="17">
        <v>0.38101784004003703</v>
      </c>
      <c r="Q913" s="17">
        <v>0.35995947073642198</v>
      </c>
      <c r="R913" s="17">
        <v>0.29952593022067298</v>
      </c>
      <c r="S913" s="17">
        <v>0.31776793082546001</v>
      </c>
      <c r="T913" s="17">
        <v>0.32051677806011902</v>
      </c>
      <c r="U913" s="17">
        <v>0.306336938591805</v>
      </c>
      <c r="V913" s="17">
        <v>0.330812194118975</v>
      </c>
      <c r="W913" s="17"/>
      <c r="X913" s="17">
        <v>0.29148707246830802</v>
      </c>
      <c r="Y913" s="17">
        <v>0.36492904417518801</v>
      </c>
    </row>
    <row r="914" spans="2:25" x14ac:dyDescent="0.35">
      <c r="B914" t="s">
        <v>350</v>
      </c>
      <c r="C914" s="17">
        <v>0.343391677423321</v>
      </c>
      <c r="D914" s="17">
        <v>0.35151739037132101</v>
      </c>
      <c r="E914" s="17">
        <v>0.33478209800546899</v>
      </c>
      <c r="F914" s="17"/>
      <c r="G914" s="17">
        <v>0.15265115671117599</v>
      </c>
      <c r="H914" s="17">
        <v>0.26533762905467301</v>
      </c>
      <c r="I914" s="17">
        <v>0.32156846313725701</v>
      </c>
      <c r="J914" s="17">
        <v>0.36758982646683802</v>
      </c>
      <c r="K914" s="17">
        <v>0.44672792575982201</v>
      </c>
      <c r="L914" s="17">
        <v>0.59217151237364396</v>
      </c>
      <c r="M914" s="17"/>
      <c r="N914" s="17">
        <v>0.32390614411552598</v>
      </c>
      <c r="O914" s="17">
        <v>0.31966045267903498</v>
      </c>
      <c r="P914" s="17">
        <v>0.30516694037799702</v>
      </c>
      <c r="Q914" s="17">
        <v>0.37359317503742201</v>
      </c>
      <c r="R914" s="17">
        <v>0.34555352938505302</v>
      </c>
      <c r="S914" s="17">
        <v>0.44026962975335399</v>
      </c>
      <c r="T914" s="17">
        <v>0.31326581708488999</v>
      </c>
      <c r="U914" s="17">
        <v>0.28642090037939</v>
      </c>
      <c r="V914" s="17">
        <v>0.34820919632285102</v>
      </c>
      <c r="W914" s="17"/>
      <c r="X914" s="17">
        <v>0.38836042877722898</v>
      </c>
      <c r="Y914" s="17">
        <v>0.30662486556758201</v>
      </c>
    </row>
    <row r="915" spans="2:25" x14ac:dyDescent="0.35">
      <c r="C915" s="17"/>
      <c r="D915" s="17"/>
      <c r="E915" s="17"/>
      <c r="F915" s="17"/>
      <c r="G915" s="17"/>
      <c r="H915" s="17"/>
      <c r="I915" s="17"/>
      <c r="J915" s="17"/>
      <c r="K915" s="17"/>
      <c r="L915" s="17"/>
      <c r="M915" s="17"/>
      <c r="N915" s="17"/>
      <c r="O915" s="17"/>
      <c r="P915" s="17"/>
      <c r="Q915" s="17"/>
      <c r="R915" s="17"/>
      <c r="S915" s="17"/>
      <c r="T915" s="17"/>
      <c r="U915" s="17"/>
      <c r="V915" s="17"/>
      <c r="W915" s="17"/>
      <c r="X915" s="17"/>
      <c r="Y915" s="17"/>
    </row>
    <row r="916" spans="2:25" x14ac:dyDescent="0.35">
      <c r="B916" s="6" t="s">
        <v>361</v>
      </c>
      <c r="C916" s="17"/>
      <c r="D916" s="17"/>
      <c r="E916" s="17"/>
      <c r="F916" s="17"/>
      <c r="G916" s="17"/>
      <c r="H916" s="17"/>
      <c r="I916" s="17"/>
      <c r="J916" s="17"/>
      <c r="K916" s="17"/>
      <c r="L916" s="17"/>
      <c r="M916" s="17"/>
      <c r="N916" s="17"/>
      <c r="O916" s="17"/>
      <c r="P916" s="17"/>
      <c r="Q916" s="17"/>
      <c r="R916" s="17"/>
      <c r="S916" s="17"/>
      <c r="T916" s="17"/>
      <c r="U916" s="17"/>
      <c r="V916" s="17"/>
      <c r="W916" s="17"/>
      <c r="X916" s="17"/>
      <c r="Y916" s="17"/>
    </row>
    <row r="917" spans="2:25" x14ac:dyDescent="0.35">
      <c r="B917" s="24" t="s">
        <v>534</v>
      </c>
      <c r="C917" s="17"/>
      <c r="D917" s="17"/>
      <c r="E917" s="17"/>
      <c r="F917" s="17"/>
      <c r="G917" s="17"/>
      <c r="H917" s="17"/>
      <c r="I917" s="17"/>
      <c r="J917" s="17"/>
      <c r="K917" s="17"/>
      <c r="L917" s="17"/>
      <c r="M917" s="17"/>
      <c r="N917" s="17"/>
      <c r="O917" s="17"/>
      <c r="P917" s="17"/>
      <c r="Q917" s="17"/>
      <c r="R917" s="17"/>
      <c r="S917" s="17"/>
      <c r="T917" s="17"/>
      <c r="U917" s="17"/>
      <c r="V917" s="17"/>
      <c r="W917" s="17"/>
      <c r="X917" s="17"/>
      <c r="Y917" s="17"/>
    </row>
    <row r="918" spans="2:25" x14ac:dyDescent="0.35">
      <c r="B918" t="s">
        <v>358</v>
      </c>
      <c r="C918" s="17">
        <v>0.74062151356468697</v>
      </c>
      <c r="D918" s="17">
        <v>0.74346044527670796</v>
      </c>
      <c r="E918" s="17">
        <v>0.73827011028696699</v>
      </c>
      <c r="F918" s="17"/>
      <c r="G918" s="17">
        <v>0.74843013052154395</v>
      </c>
      <c r="H918" s="17">
        <v>0.76586017346000201</v>
      </c>
      <c r="I918" s="17">
        <v>0.751025799787709</v>
      </c>
      <c r="J918" s="17">
        <v>0.753208376900806</v>
      </c>
      <c r="K918" s="17">
        <v>0.72034039115372706</v>
      </c>
      <c r="L918" s="17">
        <v>0.57935883328150495</v>
      </c>
      <c r="M918" s="17"/>
      <c r="N918" s="17">
        <v>0.64156233655042705</v>
      </c>
      <c r="O918" s="17">
        <v>0.63798251998428601</v>
      </c>
      <c r="P918" s="17">
        <v>0.77087204558004097</v>
      </c>
      <c r="Q918" s="17">
        <v>0.72153675337081002</v>
      </c>
      <c r="R918" s="17">
        <v>0.73952075647564297</v>
      </c>
      <c r="S918" s="17">
        <v>0.63047990247393504</v>
      </c>
      <c r="T918" s="17">
        <v>0.83192002355760597</v>
      </c>
      <c r="U918" s="17">
        <v>0.79681624713886301</v>
      </c>
      <c r="V918" s="17">
        <v>0.70073861671188598</v>
      </c>
      <c r="W918" s="17"/>
      <c r="X918" s="17">
        <v>0.65749967852385005</v>
      </c>
      <c r="Y918" s="17">
        <v>0.80858259271492205</v>
      </c>
    </row>
    <row r="919" spans="2:25" x14ac:dyDescent="0.35">
      <c r="B919" t="s">
        <v>359</v>
      </c>
      <c r="C919" s="17">
        <v>9.9022448127322804E-2</v>
      </c>
      <c r="D919" s="17">
        <v>9.2082007368696595E-2</v>
      </c>
      <c r="E919" s="17">
        <v>0.10735956157466001</v>
      </c>
      <c r="F919" s="17"/>
      <c r="G919" s="17">
        <v>0.12761680143436099</v>
      </c>
      <c r="H919" s="17">
        <v>8.6388425623165094E-2</v>
      </c>
      <c r="I919" s="17">
        <v>0.105952822382869</v>
      </c>
      <c r="J919" s="17">
        <v>9.0282022713404506E-2</v>
      </c>
      <c r="K919" s="17">
        <v>8.9706477355573494E-2</v>
      </c>
      <c r="L919" s="17">
        <v>0.15326086788715401</v>
      </c>
      <c r="M919" s="17"/>
      <c r="N919" s="17">
        <v>0.101906525563089</v>
      </c>
      <c r="O919" s="17">
        <v>8.7236883217271799E-2</v>
      </c>
      <c r="P919" s="17">
        <v>0.10439245632143</v>
      </c>
      <c r="Q919" s="17">
        <v>0.121951411857155</v>
      </c>
      <c r="R919" s="17">
        <v>9.6800499608584098E-2</v>
      </c>
      <c r="S919" s="17">
        <v>0.109515914535658</v>
      </c>
      <c r="T919" s="17">
        <v>8.3425365930851397E-2</v>
      </c>
      <c r="U919" s="17">
        <v>8.4902295510678905E-2</v>
      </c>
      <c r="V919" s="17">
        <v>8.9026358409759407E-2</v>
      </c>
      <c r="W919" s="17"/>
      <c r="X919" s="17">
        <v>0.121434501218353</v>
      </c>
      <c r="Y919" s="17">
        <v>8.0698173725892205E-2</v>
      </c>
    </row>
    <row r="920" spans="2:25" x14ac:dyDescent="0.35">
      <c r="B920" t="s">
        <v>360</v>
      </c>
      <c r="C920" s="17">
        <v>0.16035603830799</v>
      </c>
      <c r="D920" s="17">
        <v>0.164457547354596</v>
      </c>
      <c r="E920" s="17">
        <v>0.15437032813837301</v>
      </c>
      <c r="F920" s="17"/>
      <c r="G920" s="17">
        <v>0.12395306804409501</v>
      </c>
      <c r="H920" s="17">
        <v>0.147751400916833</v>
      </c>
      <c r="I920" s="17">
        <v>0.14302137782942201</v>
      </c>
      <c r="J920" s="17">
        <v>0.15650960038579001</v>
      </c>
      <c r="K920" s="17">
        <v>0.18995313149069901</v>
      </c>
      <c r="L920" s="17">
        <v>0.26738029883134101</v>
      </c>
      <c r="M920" s="17"/>
      <c r="N920" s="17">
        <v>0.25653113788648402</v>
      </c>
      <c r="O920" s="17">
        <v>0.27478059679844202</v>
      </c>
      <c r="P920" s="17">
        <v>0.124735498098529</v>
      </c>
      <c r="Q920" s="17">
        <v>0.15651183477203401</v>
      </c>
      <c r="R920" s="17">
        <v>0.163678743915773</v>
      </c>
      <c r="S920" s="17">
        <v>0.26000418299040701</v>
      </c>
      <c r="T920" s="17">
        <v>8.4654610511543105E-2</v>
      </c>
      <c r="U920" s="17">
        <v>0.118281457350458</v>
      </c>
      <c r="V920" s="17">
        <v>0.21023502487835499</v>
      </c>
      <c r="W920" s="17"/>
      <c r="X920" s="17">
        <v>0.221065820257798</v>
      </c>
      <c r="Y920" s="17">
        <v>0.110719233559186</v>
      </c>
    </row>
    <row r="921" spans="2:25" x14ac:dyDescent="0.35">
      <c r="C921" s="17"/>
      <c r="D921" s="17"/>
      <c r="E921" s="17"/>
      <c r="F921" s="17"/>
      <c r="G921" s="17"/>
      <c r="H921" s="17"/>
      <c r="I921" s="17"/>
      <c r="J921" s="17"/>
      <c r="K921" s="17"/>
      <c r="L921" s="17"/>
      <c r="M921" s="17"/>
      <c r="N921" s="17"/>
      <c r="O921" s="17"/>
      <c r="P921" s="17"/>
      <c r="Q921" s="17"/>
      <c r="R921" s="17"/>
      <c r="S921" s="17"/>
      <c r="T921" s="17"/>
      <c r="U921" s="17"/>
      <c r="V921" s="17"/>
      <c r="W921" s="17"/>
      <c r="X921" s="17"/>
      <c r="Y921" s="17"/>
    </row>
    <row r="922" spans="2:25" x14ac:dyDescent="0.35">
      <c r="B922" s="6" t="s">
        <v>364</v>
      </c>
      <c r="C922" s="17"/>
      <c r="D922" s="17"/>
      <c r="E922" s="17"/>
      <c r="F922" s="17"/>
      <c r="G922" s="17"/>
      <c r="H922" s="17"/>
      <c r="I922" s="17"/>
      <c r="J922" s="17"/>
      <c r="K922" s="17"/>
      <c r="L922" s="17"/>
      <c r="M922" s="17"/>
      <c r="N922" s="17"/>
      <c r="O922" s="17"/>
      <c r="P922" s="17"/>
      <c r="Q922" s="17"/>
      <c r="R922" s="17"/>
      <c r="S922" s="17"/>
      <c r="T922" s="17"/>
      <c r="U922" s="17"/>
      <c r="V922" s="17"/>
      <c r="W922" s="17"/>
      <c r="X922" s="17"/>
      <c r="Y922" s="17"/>
    </row>
    <row r="923" spans="2:25" x14ac:dyDescent="0.35">
      <c r="B923" s="24" t="s">
        <v>536</v>
      </c>
      <c r="C923" s="17"/>
      <c r="D923" s="17"/>
      <c r="E923" s="17"/>
      <c r="F923" s="17"/>
      <c r="G923" s="17"/>
      <c r="H923" s="17"/>
      <c r="I923" s="17"/>
      <c r="J923" s="17"/>
      <c r="K923" s="17"/>
      <c r="L923" s="17"/>
      <c r="M923" s="17"/>
      <c r="N923" s="17"/>
      <c r="O923" s="17"/>
      <c r="P923" s="17"/>
      <c r="Q923" s="17"/>
      <c r="R923" s="17"/>
      <c r="S923" s="17"/>
      <c r="T923" s="17"/>
      <c r="U923" s="17"/>
      <c r="V923" s="17"/>
      <c r="W923" s="17"/>
      <c r="X923" s="17"/>
      <c r="Y923" s="17"/>
    </row>
    <row r="924" spans="2:25" x14ac:dyDescent="0.35">
      <c r="B924" t="s">
        <v>362</v>
      </c>
      <c r="C924" s="17">
        <v>0.63760806103983203</v>
      </c>
      <c r="D924" s="17">
        <v>0.64792871983959499</v>
      </c>
      <c r="E924" s="17">
        <v>0.62680759431363597</v>
      </c>
      <c r="F924" s="17"/>
      <c r="G924" s="17">
        <v>0.48124554362498601</v>
      </c>
      <c r="H924" s="17">
        <v>0.67814413772215199</v>
      </c>
      <c r="I924" s="17">
        <v>0.61797725479688503</v>
      </c>
      <c r="J924" s="17">
        <v>0.62803882968163205</v>
      </c>
      <c r="K924" s="17">
        <v>0.65706561381471495</v>
      </c>
      <c r="L924" s="17">
        <v>0.71255980038046596</v>
      </c>
      <c r="M924" s="17"/>
      <c r="N924" s="17">
        <v>0.77225272810651602</v>
      </c>
      <c r="O924" s="17">
        <v>0.62655843862491301</v>
      </c>
      <c r="P924" s="17">
        <v>0.68676520509686301</v>
      </c>
      <c r="Q924" s="17">
        <v>0.59829765632808496</v>
      </c>
      <c r="R924" s="17">
        <v>0.40458399716618598</v>
      </c>
      <c r="S924" s="17">
        <v>0.64205976746070403</v>
      </c>
      <c r="T924" s="17">
        <v>0.64870517765781199</v>
      </c>
      <c r="U924" s="17">
        <v>0.78329827782979899</v>
      </c>
      <c r="V924" s="17">
        <v>0.71893379943621005</v>
      </c>
      <c r="W924" s="17"/>
      <c r="X924" s="17">
        <v>0.68601079822594002</v>
      </c>
      <c r="Y924" s="17">
        <v>0.56710152334744102</v>
      </c>
    </row>
    <row r="925" spans="2:25" x14ac:dyDescent="0.35">
      <c r="B925" t="s">
        <v>363</v>
      </c>
      <c r="C925" s="17">
        <v>0.222304641186747</v>
      </c>
      <c r="D925" s="17">
        <v>0.216648048824536</v>
      </c>
      <c r="E925" s="17">
        <v>0.228370861136619</v>
      </c>
      <c r="F925" s="17"/>
      <c r="G925" s="17">
        <v>0.41736080812293802</v>
      </c>
      <c r="H925" s="17">
        <v>0.20685105339943899</v>
      </c>
      <c r="I925" s="17">
        <v>0.24349562144228401</v>
      </c>
      <c r="J925" s="17">
        <v>0.18087745378550499</v>
      </c>
      <c r="K925" s="17">
        <v>0.212985427753725</v>
      </c>
      <c r="L925" s="17">
        <v>0.167868861082622</v>
      </c>
      <c r="M925" s="17"/>
      <c r="N925" s="17">
        <v>0.180413184836344</v>
      </c>
      <c r="O925" s="17">
        <v>0.31957402610358898</v>
      </c>
      <c r="P925" s="17">
        <v>0.21017394604108899</v>
      </c>
      <c r="Q925" s="17">
        <v>0.27796135775823699</v>
      </c>
      <c r="R925" s="17">
        <v>0.32562005603979199</v>
      </c>
      <c r="S925" s="17">
        <v>0.21975342073399401</v>
      </c>
      <c r="T925" s="17">
        <v>0.179529185894927</v>
      </c>
      <c r="U925" s="17">
        <v>0.12022942812937</v>
      </c>
      <c r="V925" s="17">
        <v>0.14625043316267</v>
      </c>
      <c r="W925" s="17"/>
      <c r="X925" s="17">
        <v>0.20118073768254399</v>
      </c>
      <c r="Y925" s="17">
        <v>0.25307507660453998</v>
      </c>
    </row>
    <row r="926" spans="2:25" x14ac:dyDescent="0.35">
      <c r="B926" t="s">
        <v>69</v>
      </c>
      <c r="C926" s="17">
        <v>0.14008729777342099</v>
      </c>
      <c r="D926" s="17">
        <v>0.135423231335869</v>
      </c>
      <c r="E926" s="17">
        <v>0.144821544549745</v>
      </c>
      <c r="F926" s="17"/>
      <c r="G926" s="17">
        <v>0.101393648252076</v>
      </c>
      <c r="H926" s="17">
        <v>0.11500480887841</v>
      </c>
      <c r="I926" s="17">
        <v>0.13852712376083201</v>
      </c>
      <c r="J926" s="17">
        <v>0.19108371653286299</v>
      </c>
      <c r="K926" s="17">
        <v>0.12994895843155899</v>
      </c>
      <c r="L926" s="17">
        <v>0.119571338536912</v>
      </c>
      <c r="M926" s="17"/>
      <c r="N926" s="17">
        <v>4.73340870571397E-2</v>
      </c>
      <c r="O926" s="17">
        <v>5.3867535271497999E-2</v>
      </c>
      <c r="P926" s="17">
        <v>0.103060848862047</v>
      </c>
      <c r="Q926" s="17">
        <v>0.12374098591367801</v>
      </c>
      <c r="R926" s="17">
        <v>0.26979594679402202</v>
      </c>
      <c r="S926" s="17">
        <v>0.13818681180530201</v>
      </c>
      <c r="T926" s="17">
        <v>0.17176563644726101</v>
      </c>
      <c r="U926" s="17">
        <v>9.64722940408312E-2</v>
      </c>
      <c r="V926" s="17">
        <v>0.13481576740112</v>
      </c>
      <c r="W926" s="17"/>
      <c r="X926" s="17">
        <v>0.112808464091516</v>
      </c>
      <c r="Y926" s="17">
        <v>0.179823400048019</v>
      </c>
    </row>
    <row r="927" spans="2:25" x14ac:dyDescent="0.35">
      <c r="C927" s="17"/>
      <c r="D927" s="17"/>
      <c r="E927" s="17"/>
      <c r="F927" s="17"/>
      <c r="G927" s="17"/>
      <c r="H927" s="17"/>
      <c r="I927" s="17"/>
      <c r="J927" s="17"/>
      <c r="K927" s="17"/>
      <c r="L927" s="17"/>
      <c r="M927" s="17"/>
      <c r="N927" s="17"/>
      <c r="O927" s="17"/>
      <c r="P927" s="17"/>
      <c r="Q927" s="17"/>
      <c r="R927" s="17"/>
      <c r="S927" s="17"/>
      <c r="T927" s="17"/>
      <c r="U927" s="17"/>
      <c r="V927" s="17"/>
      <c r="W927" s="17"/>
      <c r="X927" s="17"/>
      <c r="Y927" s="17"/>
    </row>
    <row r="928" spans="2:25" x14ac:dyDescent="0.35">
      <c r="B928" s="6" t="s">
        <v>368</v>
      </c>
      <c r="C928" s="17"/>
      <c r="D928" s="17"/>
      <c r="E928" s="17"/>
      <c r="F928" s="17"/>
      <c r="G928" s="17"/>
      <c r="H928" s="17"/>
      <c r="I928" s="17"/>
      <c r="J928" s="17"/>
      <c r="K928" s="17"/>
      <c r="L928" s="17"/>
      <c r="M928" s="17"/>
      <c r="N928" s="17"/>
      <c r="O928" s="17"/>
      <c r="P928" s="17"/>
      <c r="Q928" s="17"/>
      <c r="R928" s="17"/>
      <c r="S928" s="17"/>
      <c r="T928" s="17"/>
      <c r="U928" s="17"/>
      <c r="V928" s="17"/>
      <c r="W928" s="17"/>
      <c r="X928" s="17"/>
      <c r="Y928" s="17"/>
    </row>
    <row r="929" spans="2:25" x14ac:dyDescent="0.35">
      <c r="B929" s="24" t="s">
        <v>537</v>
      </c>
      <c r="C929" s="17"/>
      <c r="D929" s="17"/>
      <c r="E929" s="17"/>
      <c r="F929" s="17"/>
      <c r="G929" s="17"/>
      <c r="H929" s="17"/>
      <c r="I929" s="17"/>
      <c r="J929" s="17"/>
      <c r="K929" s="17"/>
      <c r="L929" s="17"/>
      <c r="M929" s="17"/>
      <c r="N929" s="17"/>
      <c r="O929" s="17"/>
      <c r="P929" s="17"/>
      <c r="Q929" s="17"/>
      <c r="R929" s="17"/>
      <c r="S929" s="17"/>
      <c r="T929" s="17"/>
      <c r="U929" s="17"/>
      <c r="V929" s="17"/>
      <c r="W929" s="17"/>
      <c r="X929" s="17"/>
      <c r="Y929" s="17"/>
    </row>
    <row r="930" spans="2:25" x14ac:dyDescent="0.35">
      <c r="B930" t="s">
        <v>365</v>
      </c>
      <c r="C930" s="17">
        <v>5.8796893416797003E-2</v>
      </c>
      <c r="D930" s="17">
        <v>5.4396969797543597E-2</v>
      </c>
      <c r="E930" s="17">
        <v>6.5190024133286104E-2</v>
      </c>
      <c r="F930" s="17"/>
      <c r="G930" s="17">
        <v>4.6191222330969998E-2</v>
      </c>
      <c r="H930" s="17">
        <v>7.1612840400535296E-2</v>
      </c>
      <c r="I930" s="17">
        <v>4.25070884140673E-2</v>
      </c>
      <c r="J930" s="17">
        <v>4.2493579180971901E-2</v>
      </c>
      <c r="K930" s="17">
        <v>9.2240715900699294E-2</v>
      </c>
      <c r="L930" s="17">
        <v>4.2222214693214501E-2</v>
      </c>
      <c r="M930" s="17"/>
      <c r="N930" s="17">
        <v>0</v>
      </c>
      <c r="O930" s="17">
        <v>3.0673526471266501E-2</v>
      </c>
      <c r="P930" s="17">
        <v>6.7825002426637193E-2</v>
      </c>
      <c r="Q930" s="17">
        <v>8.1728402242223094E-2</v>
      </c>
      <c r="R930" s="17">
        <v>5.68845847085429E-2</v>
      </c>
      <c r="S930" s="17">
        <v>5.8933317852600101E-2</v>
      </c>
      <c r="T930" s="17">
        <v>0.122725151029155</v>
      </c>
      <c r="U930" s="17">
        <v>3.4674291725093197E-2</v>
      </c>
      <c r="V930" s="17">
        <v>1.8353364071586799E-2</v>
      </c>
      <c r="W930" s="17"/>
      <c r="X930" s="17">
        <v>4.7915232237848999E-2</v>
      </c>
      <c r="Y930" s="17">
        <v>7.6560816026979298E-2</v>
      </c>
    </row>
    <row r="931" spans="2:25" x14ac:dyDescent="0.35">
      <c r="B931" t="s">
        <v>366</v>
      </c>
      <c r="C931" s="17">
        <v>0.12243494785447601</v>
      </c>
      <c r="D931" s="17">
        <v>0.108111068750158</v>
      </c>
      <c r="E931" s="17">
        <v>0.13858577491431101</v>
      </c>
      <c r="F931" s="17"/>
      <c r="G931" s="17">
        <v>0.31535650171770702</v>
      </c>
      <c r="H931" s="17">
        <v>0.13587000226075699</v>
      </c>
      <c r="I931" s="17">
        <v>0.12584089230947401</v>
      </c>
      <c r="J931" s="17">
        <v>9.0333407261182094E-2</v>
      </c>
      <c r="K931" s="17">
        <v>0.10851917519055999</v>
      </c>
      <c r="L931" s="17">
        <v>7.6750253698066803E-2</v>
      </c>
      <c r="M931" s="17"/>
      <c r="N931" s="17">
        <v>0.103075376167794</v>
      </c>
      <c r="O931" s="17">
        <v>0.12447517451061001</v>
      </c>
      <c r="P931" s="17">
        <v>0.13650560735052</v>
      </c>
      <c r="Q931" s="17">
        <v>0.132941051401542</v>
      </c>
      <c r="R931" s="17">
        <v>7.7171094977194696E-2</v>
      </c>
      <c r="S931" s="17">
        <v>0.111651213545972</v>
      </c>
      <c r="T931" s="17">
        <v>0.25496383665872002</v>
      </c>
      <c r="U931" s="17">
        <v>9.8664625539862993E-2</v>
      </c>
      <c r="V931" s="17">
        <v>8.4775701623935704E-2</v>
      </c>
      <c r="W931" s="17"/>
      <c r="X931" s="17">
        <v>0.123151039660467</v>
      </c>
      <c r="Y931" s="17">
        <v>0.121265953597604</v>
      </c>
    </row>
    <row r="932" spans="2:25" x14ac:dyDescent="0.35">
      <c r="B932" t="s">
        <v>367</v>
      </c>
      <c r="C932" s="17">
        <v>0.76677156837099003</v>
      </c>
      <c r="D932" s="17">
        <v>0.78416179875410197</v>
      </c>
      <c r="E932" s="17">
        <v>0.74531763602772905</v>
      </c>
      <c r="F932" s="17"/>
      <c r="G932" s="17">
        <v>0.61580692392385294</v>
      </c>
      <c r="H932" s="17">
        <v>0.75386170138452802</v>
      </c>
      <c r="I932" s="17">
        <v>0.75903216267120099</v>
      </c>
      <c r="J932" s="17">
        <v>0.80924309575336495</v>
      </c>
      <c r="K932" s="17">
        <v>0.746852816961734</v>
      </c>
      <c r="L932" s="17">
        <v>0.84781736265782004</v>
      </c>
      <c r="M932" s="17"/>
      <c r="N932" s="17">
        <v>0.89692462383220595</v>
      </c>
      <c r="O932" s="17">
        <v>0.78752313114857397</v>
      </c>
      <c r="P932" s="17">
        <v>0.71129776430768399</v>
      </c>
      <c r="Q932" s="17">
        <v>0.72499542542107698</v>
      </c>
      <c r="R932" s="17">
        <v>0.78427524486487799</v>
      </c>
      <c r="S932" s="17">
        <v>0.80142237125168503</v>
      </c>
      <c r="T932" s="17">
        <v>0.51072176580454498</v>
      </c>
      <c r="U932" s="17">
        <v>0.82911595682112305</v>
      </c>
      <c r="V932" s="17">
        <v>0.89687093430447795</v>
      </c>
      <c r="W932" s="17"/>
      <c r="X932" s="17">
        <v>0.79740755342132597</v>
      </c>
      <c r="Y932" s="17">
        <v>0.71675941870272697</v>
      </c>
    </row>
    <row r="933" spans="2:25" x14ac:dyDescent="0.35">
      <c r="B933" t="s">
        <v>224</v>
      </c>
      <c r="C933" s="17">
        <v>5.1996590357737703E-2</v>
      </c>
      <c r="D933" s="17">
        <v>5.3330162698196598E-2</v>
      </c>
      <c r="E933" s="17">
        <v>5.0906564924673298E-2</v>
      </c>
      <c r="F933" s="17"/>
      <c r="G933" s="17">
        <v>2.26453520274702E-2</v>
      </c>
      <c r="H933" s="17">
        <v>3.8655455954180303E-2</v>
      </c>
      <c r="I933" s="17">
        <v>7.2619856605257202E-2</v>
      </c>
      <c r="J933" s="17">
        <v>5.7929917804481097E-2</v>
      </c>
      <c r="K933" s="17">
        <v>5.2387291947006601E-2</v>
      </c>
      <c r="L933" s="17">
        <v>3.3210168950898601E-2</v>
      </c>
      <c r="M933" s="17"/>
      <c r="N933" s="17">
        <v>0</v>
      </c>
      <c r="O933" s="17">
        <v>5.7328167869550001E-2</v>
      </c>
      <c r="P933" s="17">
        <v>8.4371625915158593E-2</v>
      </c>
      <c r="Q933" s="17">
        <v>6.0335120935157797E-2</v>
      </c>
      <c r="R933" s="17">
        <v>8.1669075449384204E-2</v>
      </c>
      <c r="S933" s="17">
        <v>2.79930973497436E-2</v>
      </c>
      <c r="T933" s="17">
        <v>0.11158924650757999</v>
      </c>
      <c r="U933" s="17">
        <v>3.7545125913920903E-2</v>
      </c>
      <c r="V933" s="17">
        <v>0</v>
      </c>
      <c r="W933" s="17"/>
      <c r="X933" s="17">
        <v>3.1526174680358801E-2</v>
      </c>
      <c r="Y933" s="17">
        <v>8.5413811672689299E-2</v>
      </c>
    </row>
    <row r="934" spans="2:25" x14ac:dyDescent="0.35">
      <c r="C934" s="17"/>
      <c r="D934" s="17"/>
      <c r="E934" s="17"/>
      <c r="F934" s="17"/>
      <c r="G934" s="17"/>
      <c r="H934" s="17"/>
      <c r="I934" s="17"/>
      <c r="J934" s="17"/>
      <c r="K934" s="17"/>
      <c r="L934" s="17"/>
      <c r="M934" s="17"/>
      <c r="N934" s="17"/>
      <c r="O934" s="17"/>
      <c r="P934" s="17"/>
      <c r="Q934" s="17"/>
      <c r="R934" s="17"/>
      <c r="S934" s="17"/>
      <c r="T934" s="17"/>
      <c r="U934" s="17"/>
      <c r="V934" s="17"/>
      <c r="W934" s="17"/>
      <c r="X934" s="17"/>
      <c r="Y934" s="17"/>
    </row>
    <row r="935" spans="2:25" x14ac:dyDescent="0.35">
      <c r="B935" s="6" t="s">
        <v>377</v>
      </c>
      <c r="C935" s="17"/>
      <c r="D935" s="17"/>
      <c r="E935" s="17"/>
      <c r="F935" s="17"/>
      <c r="G935" s="17"/>
      <c r="H935" s="17"/>
      <c r="I935" s="17"/>
      <c r="J935" s="17"/>
      <c r="K935" s="17"/>
      <c r="L935" s="17"/>
      <c r="M935" s="17"/>
      <c r="N935" s="17"/>
      <c r="O935" s="17"/>
      <c r="P935" s="17"/>
      <c r="Q935" s="17"/>
      <c r="R935" s="17"/>
      <c r="S935" s="17"/>
      <c r="T935" s="17"/>
      <c r="U935" s="17"/>
      <c r="V935" s="17"/>
      <c r="W935" s="17"/>
      <c r="X935" s="17"/>
      <c r="Y935" s="17"/>
    </row>
    <row r="936" spans="2:25" x14ac:dyDescent="0.35">
      <c r="B936" s="24" t="s">
        <v>50</v>
      </c>
      <c r="C936" s="17"/>
      <c r="D936" s="17"/>
      <c r="E936" s="17"/>
      <c r="F936" s="17"/>
      <c r="G936" s="17"/>
      <c r="H936" s="17"/>
      <c r="I936" s="17"/>
      <c r="J936" s="17"/>
      <c r="K936" s="17"/>
      <c r="L936" s="17"/>
      <c r="M936" s="17"/>
      <c r="N936" s="17"/>
      <c r="O936" s="17"/>
      <c r="P936" s="17"/>
      <c r="Q936" s="17"/>
      <c r="R936" s="17"/>
      <c r="S936" s="17"/>
      <c r="T936" s="17"/>
      <c r="U936" s="17"/>
      <c r="V936" s="17"/>
      <c r="W936" s="17"/>
      <c r="X936" s="17"/>
      <c r="Y936" s="17"/>
    </row>
    <row r="937" spans="2:25" x14ac:dyDescent="0.35">
      <c r="B937" t="s">
        <v>147</v>
      </c>
      <c r="C937" s="17">
        <v>0.54042994742579198</v>
      </c>
      <c r="D937" s="17">
        <v>0.51473797249347297</v>
      </c>
      <c r="E937" s="17">
        <v>0.56512212384718696</v>
      </c>
      <c r="F937" s="17"/>
      <c r="G937" s="17">
        <v>0.519542859426113</v>
      </c>
      <c r="H937" s="17">
        <v>0.54062823526444703</v>
      </c>
      <c r="I937" s="17">
        <v>0.54629245855227204</v>
      </c>
      <c r="J937" s="17">
        <v>0.53221552665543304</v>
      </c>
      <c r="K937" s="17">
        <v>0.56250170035398295</v>
      </c>
      <c r="L937" s="17">
        <v>0.53541036164489098</v>
      </c>
      <c r="M937" s="17"/>
      <c r="N937" s="17">
        <v>0.58776629689330495</v>
      </c>
      <c r="O937" s="17">
        <v>0.67772517892755701</v>
      </c>
      <c r="P937" s="17">
        <v>0.63017888433621305</v>
      </c>
      <c r="Q937" s="17">
        <v>0.38906475088152498</v>
      </c>
      <c r="R937" s="17">
        <v>0.465496324969704</v>
      </c>
      <c r="S937" s="17">
        <v>0.41056858243311201</v>
      </c>
      <c r="T937" s="17">
        <v>0.55448701053227401</v>
      </c>
      <c r="U937" s="17">
        <v>0.70110567486860398</v>
      </c>
      <c r="V937" s="17">
        <v>0.67392076687997604</v>
      </c>
      <c r="W937" s="17"/>
      <c r="X937" s="17">
        <v>0.59788335299054096</v>
      </c>
      <c r="Y937" s="17">
        <v>0.508637155987268</v>
      </c>
    </row>
    <row r="938" spans="2:25" x14ac:dyDescent="0.35">
      <c r="B938" t="s">
        <v>369</v>
      </c>
      <c r="C938" s="17">
        <v>0.44869158632810802</v>
      </c>
      <c r="D938" s="17">
        <v>0.497095508336514</v>
      </c>
      <c r="E938" s="17">
        <v>0.40346765393355499</v>
      </c>
      <c r="F938" s="17"/>
      <c r="G938" s="17">
        <v>0.32602575900979403</v>
      </c>
      <c r="H938" s="17">
        <v>0.440725478663134</v>
      </c>
      <c r="I938" s="17">
        <v>0.45948265333933602</v>
      </c>
      <c r="J938" s="17">
        <v>0.46753249912488198</v>
      </c>
      <c r="K938" s="17">
        <v>0.46366576422963202</v>
      </c>
      <c r="L938" s="17">
        <v>0.46940391756005401</v>
      </c>
      <c r="M938" s="17"/>
      <c r="N938" s="17">
        <v>0.40029757416081002</v>
      </c>
      <c r="O938" s="17">
        <v>0.43467625999557002</v>
      </c>
      <c r="P938" s="17">
        <v>0.54285210316392396</v>
      </c>
      <c r="Q938" s="17">
        <v>0.24935108420252799</v>
      </c>
      <c r="R938" s="17">
        <v>0.47248105401819601</v>
      </c>
      <c r="S938" s="17">
        <v>0.441058661937688</v>
      </c>
      <c r="T938" s="17">
        <v>0.48165543207172001</v>
      </c>
      <c r="U938" s="17">
        <v>0.47880860358043498</v>
      </c>
      <c r="V938" s="17">
        <v>0.54292693259513702</v>
      </c>
      <c r="W938" s="17"/>
      <c r="X938" s="17">
        <v>0.55312770326251604</v>
      </c>
      <c r="Y938" s="17">
        <v>0.39090013512156502</v>
      </c>
    </row>
    <row r="939" spans="2:25" x14ac:dyDescent="0.35">
      <c r="B939" t="s">
        <v>370</v>
      </c>
      <c r="C939" s="17">
        <v>0.348628622512556</v>
      </c>
      <c r="D939" s="17">
        <v>0.38739302308573098</v>
      </c>
      <c r="E939" s="17">
        <v>0.31183983160408302</v>
      </c>
      <c r="F939" s="17"/>
      <c r="G939" s="17">
        <v>0.50063040712732798</v>
      </c>
      <c r="H939" s="17">
        <v>0.45147702864082501</v>
      </c>
      <c r="I939" s="17">
        <v>0.37620545563357199</v>
      </c>
      <c r="J939" s="17">
        <v>0.32355714783992501</v>
      </c>
      <c r="K939" s="17">
        <v>0.30011964789629098</v>
      </c>
      <c r="L939" s="17">
        <v>0.26254982222423201</v>
      </c>
      <c r="M939" s="17"/>
      <c r="N939" s="17">
        <v>0.34961771919052798</v>
      </c>
      <c r="O939" s="17">
        <v>0.65463170643330304</v>
      </c>
      <c r="P939" s="17">
        <v>0.17257224127663001</v>
      </c>
      <c r="Q939" s="17">
        <v>0.29591301659397801</v>
      </c>
      <c r="R939" s="17">
        <v>0.38279932204567402</v>
      </c>
      <c r="S939" s="17">
        <v>0.28031255517773301</v>
      </c>
      <c r="T939" s="17">
        <v>0.53757494915937598</v>
      </c>
      <c r="U939" s="17">
        <v>0.28029717699212298</v>
      </c>
      <c r="V939" s="17">
        <v>0.54829798908976002</v>
      </c>
      <c r="W939" s="17"/>
      <c r="X939" s="17">
        <v>0.40430857435665901</v>
      </c>
      <c r="Y939" s="17">
        <v>0.31781720099827299</v>
      </c>
    </row>
    <row r="940" spans="2:25" x14ac:dyDescent="0.35">
      <c r="B940" t="s">
        <v>371</v>
      </c>
      <c r="C940" s="17">
        <v>0.34764051714809102</v>
      </c>
      <c r="D940" s="17">
        <v>0.33029288898189801</v>
      </c>
      <c r="E940" s="17">
        <v>0.36396967492101301</v>
      </c>
      <c r="F940" s="17"/>
      <c r="G940" s="17">
        <v>0.33206039138799098</v>
      </c>
      <c r="H940" s="17">
        <v>0.33331230509813298</v>
      </c>
      <c r="I940" s="17">
        <v>0.34734034011431097</v>
      </c>
      <c r="J940" s="17">
        <v>0.33129604648905903</v>
      </c>
      <c r="K940" s="17">
        <v>0.33810414406550998</v>
      </c>
      <c r="L940" s="17">
        <v>0.379559249214453</v>
      </c>
      <c r="M940" s="17"/>
      <c r="N940" s="17">
        <v>0.58608810267649103</v>
      </c>
      <c r="O940" s="17">
        <v>0.76768813719610296</v>
      </c>
      <c r="P940" s="17">
        <v>0.23002481441519501</v>
      </c>
      <c r="Q940" s="17">
        <v>5.3970046949287399E-2</v>
      </c>
      <c r="R940" s="17">
        <v>0.33519896312458602</v>
      </c>
      <c r="S940" s="17">
        <v>0.412701578650572</v>
      </c>
      <c r="T940" s="17">
        <v>0.42797812211248998</v>
      </c>
      <c r="U940" s="17">
        <v>0.38490107968478099</v>
      </c>
      <c r="V940" s="17">
        <v>0.61088411674593601</v>
      </c>
      <c r="W940" s="17"/>
      <c r="X940" s="17">
        <v>0.40565800881268699</v>
      </c>
      <c r="Y940" s="17">
        <v>0.31553557934418602</v>
      </c>
    </row>
    <row r="941" spans="2:25" x14ac:dyDescent="0.35">
      <c r="B941" t="s">
        <v>372</v>
      </c>
      <c r="C941" s="17">
        <v>0.24876560955125701</v>
      </c>
      <c r="D941" s="17">
        <v>0.24962004460274301</v>
      </c>
      <c r="E941" s="17">
        <v>0.24839349025127899</v>
      </c>
      <c r="F941" s="17"/>
      <c r="G941" s="17">
        <v>0.25432363502566102</v>
      </c>
      <c r="H941" s="17">
        <v>0.26398707505583902</v>
      </c>
      <c r="I941" s="17">
        <v>0.26813282622198797</v>
      </c>
      <c r="J941" s="17">
        <v>0.24370908990537099</v>
      </c>
      <c r="K941" s="17">
        <v>0.22311435064424701</v>
      </c>
      <c r="L941" s="17">
        <v>0.245602700011985</v>
      </c>
      <c r="M941" s="17"/>
      <c r="N941" s="17">
        <v>0.226025030024189</v>
      </c>
      <c r="O941" s="17">
        <v>0.231091964061168</v>
      </c>
      <c r="P941" s="17">
        <v>0.22883988715999001</v>
      </c>
      <c r="Q941" s="17">
        <v>0.15248526156428599</v>
      </c>
      <c r="R941" s="17">
        <v>0.141143759136408</v>
      </c>
      <c r="S941" s="17">
        <v>0.18800338016840701</v>
      </c>
      <c r="T941" s="17">
        <v>0.332566093899753</v>
      </c>
      <c r="U941" s="17">
        <v>0.40795080559507702</v>
      </c>
      <c r="V941" s="17">
        <v>0.36996820798980401</v>
      </c>
      <c r="W941" s="17"/>
      <c r="X941" s="17">
        <v>0.28397453589974198</v>
      </c>
      <c r="Y941" s="17">
        <v>0.22928216829710599</v>
      </c>
    </row>
    <row r="942" spans="2:25" x14ac:dyDescent="0.35">
      <c r="B942" t="s">
        <v>373</v>
      </c>
      <c r="C942" s="17">
        <v>0.20607391453146701</v>
      </c>
      <c r="D942" s="17">
        <v>0.223482260375716</v>
      </c>
      <c r="E942" s="17">
        <v>0.189681098349259</v>
      </c>
      <c r="F942" s="17"/>
      <c r="G942" s="17">
        <v>0.26592355506769999</v>
      </c>
      <c r="H942" s="17">
        <v>0.20882218489673801</v>
      </c>
      <c r="I942" s="17">
        <v>0.21148833591961799</v>
      </c>
      <c r="J942" s="17">
        <v>0.211765024103231</v>
      </c>
      <c r="K942" s="17">
        <v>0.203290006865602</v>
      </c>
      <c r="L942" s="17">
        <v>0.17664444442146399</v>
      </c>
      <c r="M942" s="17"/>
      <c r="N942" s="17">
        <v>0.27407339990840102</v>
      </c>
      <c r="O942" s="17">
        <v>0.506042400962743</v>
      </c>
      <c r="P942" s="17">
        <v>0.21645621691685701</v>
      </c>
      <c r="Q942" s="17">
        <v>0.200092991982323</v>
      </c>
      <c r="R942" s="17">
        <v>0.123866743569037</v>
      </c>
      <c r="S942" s="17">
        <v>0.26609145979736598</v>
      </c>
      <c r="T942" s="17">
        <v>0.116911551107206</v>
      </c>
      <c r="U942" s="17">
        <v>0.217830773577288</v>
      </c>
      <c r="V942" s="17">
        <v>0.25905365519511803</v>
      </c>
      <c r="W942" s="17"/>
      <c r="X942" s="17">
        <v>0.27444354240360103</v>
      </c>
      <c r="Y942" s="17">
        <v>0.16824045107874799</v>
      </c>
    </row>
    <row r="943" spans="2:25" x14ac:dyDescent="0.35">
      <c r="B943" t="s">
        <v>374</v>
      </c>
      <c r="C943" s="17">
        <v>0.20603970968894</v>
      </c>
      <c r="D943" s="17">
        <v>0.202469604901892</v>
      </c>
      <c r="E943" s="17">
        <v>0.20939681396149001</v>
      </c>
      <c r="F943" s="17"/>
      <c r="G943" s="17">
        <v>0.24215908117514801</v>
      </c>
      <c r="H943" s="17">
        <v>0.27807123258966898</v>
      </c>
      <c r="I943" s="17">
        <v>0.26271598499765197</v>
      </c>
      <c r="J943" s="17">
        <v>0.24265172201819701</v>
      </c>
      <c r="K943" s="17">
        <v>0.17755680970430601</v>
      </c>
      <c r="L943" s="17">
        <v>0.10733048943413399</v>
      </c>
      <c r="M943" s="17"/>
      <c r="N943" s="17">
        <v>0.28720505635154803</v>
      </c>
      <c r="O943" s="17">
        <v>0.52124690295105403</v>
      </c>
      <c r="P943" s="17">
        <v>0.206103350632622</v>
      </c>
      <c r="Q943" s="17">
        <v>0.136600956621025</v>
      </c>
      <c r="R943" s="17">
        <v>0.115995964131687</v>
      </c>
      <c r="S943" s="17">
        <v>0.111950149242576</v>
      </c>
      <c r="T943" s="17">
        <v>0.34870145784363399</v>
      </c>
      <c r="U943" s="17">
        <v>0.24157443859163399</v>
      </c>
      <c r="V943" s="17">
        <v>0.19420756594569599</v>
      </c>
      <c r="W943" s="17"/>
      <c r="X943" s="17">
        <v>0.21828366441673799</v>
      </c>
      <c r="Y943" s="17">
        <v>0.19926431499793401</v>
      </c>
    </row>
    <row r="944" spans="2:25" x14ac:dyDescent="0.35">
      <c r="B944" t="s">
        <v>375</v>
      </c>
      <c r="C944" s="17">
        <v>0.15761613670034999</v>
      </c>
      <c r="D944" s="17">
        <v>0.14012136038519499</v>
      </c>
      <c r="E944" s="17">
        <v>0.17444050772772901</v>
      </c>
      <c r="F944" s="17"/>
      <c r="G944" s="17">
        <v>0.12843091346110999</v>
      </c>
      <c r="H944" s="17">
        <v>0.11227813412995701</v>
      </c>
      <c r="I944" s="17">
        <v>0.14219368128083301</v>
      </c>
      <c r="J944" s="17">
        <v>0.16305942205618301</v>
      </c>
      <c r="K944" s="17">
        <v>0.17637044235875299</v>
      </c>
      <c r="L944" s="17">
        <v>0.189145403832752</v>
      </c>
      <c r="M944" s="17"/>
      <c r="N944" s="17">
        <v>0.10364905427850001</v>
      </c>
      <c r="O944" s="17">
        <v>2.33656209574668E-2</v>
      </c>
      <c r="P944" s="17">
        <v>0.1286661728556</v>
      </c>
      <c r="Q944" s="17">
        <v>0.291552564201286</v>
      </c>
      <c r="R944" s="17">
        <v>0.187573145097814</v>
      </c>
      <c r="S944" s="17">
        <v>0.201027842778322</v>
      </c>
      <c r="T944" s="17">
        <v>0.107301478314435</v>
      </c>
      <c r="U944" s="17">
        <v>0.10835639965072801</v>
      </c>
      <c r="V944" s="17">
        <v>5.7909424017708599E-2</v>
      </c>
      <c r="W944" s="17"/>
      <c r="X944" s="17">
        <v>9.3546555642259097E-2</v>
      </c>
      <c r="Y944" s="17">
        <v>0.193070098186373</v>
      </c>
    </row>
    <row r="945" spans="2:25" x14ac:dyDescent="0.35">
      <c r="B945" t="s">
        <v>376</v>
      </c>
      <c r="C945" s="17">
        <v>9.4279699123882205E-2</v>
      </c>
      <c r="D945" s="17">
        <v>0.10412671770929</v>
      </c>
      <c r="E945" s="17">
        <v>8.5072550138513794E-2</v>
      </c>
      <c r="F945" s="17"/>
      <c r="G945" s="17">
        <v>0.14618359669900599</v>
      </c>
      <c r="H945" s="17">
        <v>0.113824201819812</v>
      </c>
      <c r="I945" s="17">
        <v>9.8084474143732198E-2</v>
      </c>
      <c r="J945" s="17">
        <v>7.4421085780716101E-2</v>
      </c>
      <c r="K945" s="17">
        <v>7.9835998741554698E-2</v>
      </c>
      <c r="L945" s="17">
        <v>8.4030684508405007E-2</v>
      </c>
      <c r="M945" s="17"/>
      <c r="N945" s="17">
        <v>4.41951489208861E-2</v>
      </c>
      <c r="O945" s="17">
        <v>4.1307312338633703E-2</v>
      </c>
      <c r="P945" s="17">
        <v>8.9845685112238297E-2</v>
      </c>
      <c r="Q945" s="17">
        <v>0.203347966396318</v>
      </c>
      <c r="R945" s="17">
        <v>3.8148378206363603E-2</v>
      </c>
      <c r="S945" s="17">
        <v>9.6845501479610102E-2</v>
      </c>
      <c r="T945" s="17">
        <v>8.0413737408725094E-2</v>
      </c>
      <c r="U945" s="17">
        <v>9.1146845382943195E-2</v>
      </c>
      <c r="V945" s="17">
        <v>6.2835918384140502E-2</v>
      </c>
      <c r="W945" s="17"/>
      <c r="X945" s="17">
        <v>0.108276423290535</v>
      </c>
      <c r="Y945" s="17">
        <v>8.6534380497792399E-2</v>
      </c>
    </row>
    <row r="946" spans="2:25" x14ac:dyDescent="0.35">
      <c r="B946" t="s">
        <v>68</v>
      </c>
      <c r="C946" s="17">
        <v>1.36894962372511E-2</v>
      </c>
      <c r="D946" s="17">
        <v>1.4755593468332299E-2</v>
      </c>
      <c r="E946" s="17">
        <v>1.2740648968126199E-2</v>
      </c>
      <c r="F946" s="17"/>
      <c r="G946" s="17">
        <v>1.4980133365718301E-2</v>
      </c>
      <c r="H946" s="17">
        <v>1.16392537732332E-2</v>
      </c>
      <c r="I946" s="17">
        <v>7.8921658394347192E-3</v>
      </c>
      <c r="J946" s="17">
        <v>1.58829666593184E-2</v>
      </c>
      <c r="K946" s="17">
        <v>1.42161231223635E-2</v>
      </c>
      <c r="L946" s="17">
        <v>1.6296074064947201E-2</v>
      </c>
      <c r="M946" s="17"/>
      <c r="N946" s="17">
        <v>3.0552435551558999E-2</v>
      </c>
      <c r="O946" s="17">
        <v>4.0991341966630703E-3</v>
      </c>
      <c r="P946" s="17">
        <v>1.38835694836123E-2</v>
      </c>
      <c r="Q946" s="17">
        <v>7.9946054916876803E-3</v>
      </c>
      <c r="R946" s="17">
        <v>1.7939388095001799E-2</v>
      </c>
      <c r="S946" s="17">
        <v>1.7658128365465701E-2</v>
      </c>
      <c r="T946" s="17">
        <v>4.98484207725891E-3</v>
      </c>
      <c r="U946" s="17">
        <v>1.5985901914326601E-2</v>
      </c>
      <c r="V946" s="17">
        <v>1.8864994028417799E-2</v>
      </c>
      <c r="W946" s="17"/>
      <c r="X946" s="17">
        <v>1.5707585602936999E-2</v>
      </c>
      <c r="Y946" s="17">
        <v>1.25727531360045E-2</v>
      </c>
    </row>
    <row r="947" spans="2:25" x14ac:dyDescent="0.35">
      <c r="C947" s="17"/>
      <c r="D947" s="17"/>
      <c r="E947" s="17"/>
      <c r="F947" s="17"/>
      <c r="G947" s="17"/>
      <c r="H947" s="17"/>
      <c r="I947" s="17"/>
      <c r="J947" s="17"/>
      <c r="K947" s="17"/>
      <c r="L947" s="17"/>
      <c r="M947" s="17"/>
      <c r="N947" s="17"/>
      <c r="O947" s="17"/>
      <c r="P947" s="17"/>
      <c r="Q947" s="17"/>
      <c r="R947" s="17"/>
      <c r="S947" s="17"/>
      <c r="T947" s="17"/>
      <c r="U947" s="17"/>
      <c r="V947" s="17"/>
      <c r="W947" s="17"/>
      <c r="X947" s="17"/>
      <c r="Y947" s="17"/>
    </row>
    <row r="948" spans="2:25" x14ac:dyDescent="0.35">
      <c r="B948" s="6" t="s">
        <v>378</v>
      </c>
      <c r="C948" s="17"/>
      <c r="D948" s="17"/>
      <c r="E948" s="17"/>
      <c r="F948" s="17"/>
      <c r="G948" s="17"/>
      <c r="H948" s="17"/>
      <c r="I948" s="17"/>
      <c r="J948" s="17"/>
      <c r="K948" s="17"/>
      <c r="L948" s="17"/>
      <c r="M948" s="17"/>
      <c r="N948" s="17"/>
      <c r="O948" s="17"/>
      <c r="P948" s="17"/>
      <c r="Q948" s="17"/>
      <c r="R948" s="17"/>
      <c r="S948" s="17"/>
      <c r="T948" s="17"/>
      <c r="U948" s="17"/>
      <c r="V948" s="17"/>
      <c r="W948" s="17"/>
      <c r="X948" s="17"/>
      <c r="Y948" s="17"/>
    </row>
    <row r="949" spans="2:25" x14ac:dyDescent="0.35">
      <c r="B949" s="24" t="s">
        <v>50</v>
      </c>
      <c r="C949" s="17"/>
      <c r="D949" s="17"/>
      <c r="E949" s="17"/>
      <c r="F949" s="17"/>
      <c r="G949" s="17"/>
      <c r="H949" s="17"/>
      <c r="I949" s="17"/>
      <c r="J949" s="17"/>
      <c r="K949" s="17"/>
      <c r="L949" s="17"/>
      <c r="M949" s="17"/>
      <c r="N949" s="17"/>
      <c r="O949" s="17"/>
      <c r="P949" s="17"/>
      <c r="Q949" s="17"/>
      <c r="R949" s="17"/>
      <c r="S949" s="17"/>
      <c r="T949" s="17"/>
      <c r="U949" s="17"/>
      <c r="V949" s="17"/>
      <c r="W949" s="17"/>
      <c r="X949" s="17"/>
      <c r="Y949" s="17"/>
    </row>
    <row r="950" spans="2:25" x14ac:dyDescent="0.35">
      <c r="B950" t="s">
        <v>147</v>
      </c>
      <c r="C950" s="17">
        <v>0.68831046069952695</v>
      </c>
      <c r="D950" s="17">
        <v>0.66624567172620597</v>
      </c>
      <c r="E950" s="17">
        <v>0.70874948327037102</v>
      </c>
      <c r="F950" s="17"/>
      <c r="G950" s="17">
        <v>0.666983861329151</v>
      </c>
      <c r="H950" s="17">
        <v>0.646522357015478</v>
      </c>
      <c r="I950" s="17">
        <v>0.66939739945334298</v>
      </c>
      <c r="J950" s="17">
        <v>0.70819799854879995</v>
      </c>
      <c r="K950" s="17">
        <v>0.69470219539161104</v>
      </c>
      <c r="L950" s="17">
        <v>0.71531955742350894</v>
      </c>
      <c r="M950" s="17"/>
      <c r="N950" s="17">
        <v>0.74775616987636195</v>
      </c>
      <c r="O950" s="17">
        <v>0.77408233226883605</v>
      </c>
      <c r="P950" s="17">
        <v>0.75222133732590502</v>
      </c>
      <c r="Q950" s="17">
        <v>0.491616767644801</v>
      </c>
      <c r="R950" s="17">
        <v>0.71616332514826098</v>
      </c>
      <c r="S950" s="17">
        <v>0.65243312163450795</v>
      </c>
      <c r="T950" s="17">
        <v>0.66569358060819706</v>
      </c>
      <c r="U950" s="17">
        <v>0.77062512740578604</v>
      </c>
      <c r="V950" s="17">
        <v>0.81454737932670696</v>
      </c>
      <c r="W950" s="17"/>
      <c r="X950" s="17">
        <v>0.72103193976818103</v>
      </c>
      <c r="Y950" s="17">
        <v>0.67020348950497699</v>
      </c>
    </row>
    <row r="951" spans="2:25" x14ac:dyDescent="0.35">
      <c r="B951" t="s">
        <v>369</v>
      </c>
      <c r="C951" s="17">
        <v>0.58405388430963401</v>
      </c>
      <c r="D951" s="17">
        <v>0.61338704519741405</v>
      </c>
      <c r="E951" s="17">
        <v>0.55624699458476401</v>
      </c>
      <c r="F951" s="17"/>
      <c r="G951" s="17">
        <v>0.544365120839158</v>
      </c>
      <c r="H951" s="17">
        <v>0.57115930522507796</v>
      </c>
      <c r="I951" s="17">
        <v>0.61232092579030195</v>
      </c>
      <c r="J951" s="17">
        <v>0.59505976208965095</v>
      </c>
      <c r="K951" s="17">
        <v>0.58431186503778798</v>
      </c>
      <c r="L951" s="17">
        <v>0.58063469223173803</v>
      </c>
      <c r="M951" s="17"/>
      <c r="N951" s="17">
        <v>0.62846691753927297</v>
      </c>
      <c r="O951" s="17">
        <v>0.53400027733004496</v>
      </c>
      <c r="P951" s="17">
        <v>0.686978777739502</v>
      </c>
      <c r="Q951" s="17">
        <v>0.40074194080549502</v>
      </c>
      <c r="R951" s="17">
        <v>0.65436358222546198</v>
      </c>
      <c r="S951" s="17">
        <v>0.59589817636663001</v>
      </c>
      <c r="T951" s="17">
        <v>0.52483910677520895</v>
      </c>
      <c r="U951" s="17">
        <v>0.57406211593672296</v>
      </c>
      <c r="V951" s="17">
        <v>0.75215139839824896</v>
      </c>
      <c r="W951" s="17"/>
      <c r="X951" s="17">
        <v>0.65403840921420597</v>
      </c>
      <c r="Y951" s="17">
        <v>0.54532679089638603</v>
      </c>
    </row>
    <row r="952" spans="2:25" x14ac:dyDescent="0.35">
      <c r="B952" t="s">
        <v>373</v>
      </c>
      <c r="C952" s="17">
        <v>0.56737805352496895</v>
      </c>
      <c r="D952" s="17">
        <v>0.58229286525563695</v>
      </c>
      <c r="E952" s="17">
        <v>0.55398887621362203</v>
      </c>
      <c r="F952" s="17"/>
      <c r="G952" s="17">
        <v>0.53867909823889704</v>
      </c>
      <c r="H952" s="17">
        <v>0.537287376372238</v>
      </c>
      <c r="I952" s="17">
        <v>0.57265528182696401</v>
      </c>
      <c r="J952" s="17">
        <v>0.58342471337731505</v>
      </c>
      <c r="K952" s="17">
        <v>0.59595480219861596</v>
      </c>
      <c r="L952" s="17">
        <v>0.56271117391024394</v>
      </c>
      <c r="M952" s="17"/>
      <c r="N952" s="17">
        <v>0.53674311209625303</v>
      </c>
      <c r="O952" s="17">
        <v>0.72861506763669104</v>
      </c>
      <c r="P952" s="17">
        <v>0.56537008905826303</v>
      </c>
      <c r="Q952" s="17">
        <v>0.58121196070360404</v>
      </c>
      <c r="R952" s="17">
        <v>0.552641764117483</v>
      </c>
      <c r="S952" s="17">
        <v>0.61257778206010305</v>
      </c>
      <c r="T952" s="17">
        <v>0.50434764825807998</v>
      </c>
      <c r="U952" s="17">
        <v>0.50649290299166105</v>
      </c>
      <c r="V952" s="17">
        <v>0.70650639958951</v>
      </c>
      <c r="W952" s="17"/>
      <c r="X952" s="17">
        <v>0.63507973294522102</v>
      </c>
      <c r="Y952" s="17">
        <v>0.52991421038654796</v>
      </c>
    </row>
    <row r="953" spans="2:25" x14ac:dyDescent="0.35">
      <c r="B953" t="s">
        <v>371</v>
      </c>
      <c r="C953" s="17">
        <v>0.54974731683848299</v>
      </c>
      <c r="D953" s="17">
        <v>0.53427712865353405</v>
      </c>
      <c r="E953" s="17">
        <v>0.56369017164674595</v>
      </c>
      <c r="F953" s="17"/>
      <c r="G953" s="17">
        <v>0.54102861390262103</v>
      </c>
      <c r="H953" s="17">
        <v>0.51196521258804595</v>
      </c>
      <c r="I953" s="17">
        <v>0.545765702232619</v>
      </c>
      <c r="J953" s="17">
        <v>0.56110181202735399</v>
      </c>
      <c r="K953" s="17">
        <v>0.563089969693221</v>
      </c>
      <c r="L953" s="17">
        <v>0.56137093437757801</v>
      </c>
      <c r="M953" s="17"/>
      <c r="N953" s="17">
        <v>0.68315516906903995</v>
      </c>
      <c r="O953" s="17">
        <v>0.77208101608247603</v>
      </c>
      <c r="P953" s="17">
        <v>0.48928368976915598</v>
      </c>
      <c r="Q953" s="17">
        <v>0.34331270653596502</v>
      </c>
      <c r="R953" s="17">
        <v>0.62318264224067599</v>
      </c>
      <c r="S953" s="17">
        <v>0.56944167600282503</v>
      </c>
      <c r="T953" s="17">
        <v>0.57345555329012399</v>
      </c>
      <c r="U953" s="17">
        <v>0.55396550124785804</v>
      </c>
      <c r="V953" s="17">
        <v>0.73039867960270699</v>
      </c>
      <c r="W953" s="17"/>
      <c r="X953" s="17">
        <v>0.58921981940040702</v>
      </c>
      <c r="Y953" s="17">
        <v>0.52790455522718904</v>
      </c>
    </row>
    <row r="954" spans="2:25" x14ac:dyDescent="0.35">
      <c r="B954" t="s">
        <v>374</v>
      </c>
      <c r="C954" s="17">
        <v>0.46379089069330298</v>
      </c>
      <c r="D954" s="17">
        <v>0.46929480573735499</v>
      </c>
      <c r="E954" s="17">
        <v>0.45814605685125998</v>
      </c>
      <c r="F954" s="17"/>
      <c r="G954" s="17">
        <v>0.44275455682376202</v>
      </c>
      <c r="H954" s="17">
        <v>0.49530436018651702</v>
      </c>
      <c r="I954" s="17">
        <v>0.52612148927661895</v>
      </c>
      <c r="J954" s="17">
        <v>0.50675188315349795</v>
      </c>
      <c r="K954" s="17">
        <v>0.49200097284205502</v>
      </c>
      <c r="L954" s="17">
        <v>0.36505608786472599</v>
      </c>
      <c r="M954" s="17"/>
      <c r="N954" s="17">
        <v>0.48865810670249699</v>
      </c>
      <c r="O954" s="17">
        <v>0.69116942695130301</v>
      </c>
      <c r="P954" s="17">
        <v>0.46980432483897899</v>
      </c>
      <c r="Q954" s="17">
        <v>0.39603489688263599</v>
      </c>
      <c r="R954" s="17">
        <v>0.36819470700335799</v>
      </c>
      <c r="S954" s="17">
        <v>0.45663912444967703</v>
      </c>
      <c r="T954" s="17">
        <v>0.53658494027685</v>
      </c>
      <c r="U954" s="17">
        <v>0.46208224752441601</v>
      </c>
      <c r="V954" s="17">
        <v>0.56933528494268404</v>
      </c>
      <c r="W954" s="17"/>
      <c r="X954" s="17">
        <v>0.50495371751734697</v>
      </c>
      <c r="Y954" s="17">
        <v>0.44101276021743302</v>
      </c>
    </row>
    <row r="955" spans="2:25" x14ac:dyDescent="0.35">
      <c r="B955" t="s">
        <v>370</v>
      </c>
      <c r="C955" s="17">
        <v>0.46359432068739098</v>
      </c>
      <c r="D955" s="17">
        <v>0.50733830309913297</v>
      </c>
      <c r="E955" s="17">
        <v>0.42139532802123197</v>
      </c>
      <c r="F955" s="17"/>
      <c r="G955" s="17">
        <v>0.52608196777951999</v>
      </c>
      <c r="H955" s="17">
        <v>0.48966361759251298</v>
      </c>
      <c r="I955" s="17">
        <v>0.48729148433881098</v>
      </c>
      <c r="J955" s="17">
        <v>0.47804297889583303</v>
      </c>
      <c r="K955" s="17">
        <v>0.443357105882833</v>
      </c>
      <c r="L955" s="17">
        <v>0.41315355654216801</v>
      </c>
      <c r="M955" s="17"/>
      <c r="N955" s="17">
        <v>0.49999048084296399</v>
      </c>
      <c r="O955" s="17">
        <v>0.67950407303949401</v>
      </c>
      <c r="P955" s="17">
        <v>0.38790260963454998</v>
      </c>
      <c r="Q955" s="17">
        <v>0.38344384200821702</v>
      </c>
      <c r="R955" s="17">
        <v>0.51759374372803402</v>
      </c>
      <c r="S955" s="17">
        <v>0.43685814586137001</v>
      </c>
      <c r="T955" s="17">
        <v>0.49023867902621499</v>
      </c>
      <c r="U955" s="17">
        <v>0.41670487710804199</v>
      </c>
      <c r="V955" s="17">
        <v>0.70639885824062598</v>
      </c>
      <c r="W955" s="17"/>
      <c r="X955" s="17">
        <v>0.53076807695541395</v>
      </c>
      <c r="Y955" s="17">
        <v>0.42642261254966102</v>
      </c>
    </row>
    <row r="956" spans="2:25" x14ac:dyDescent="0.35">
      <c r="B956" t="s">
        <v>372</v>
      </c>
      <c r="C956" s="17">
        <v>0.44110530352871702</v>
      </c>
      <c r="D956" s="17">
        <v>0.44147685693640898</v>
      </c>
      <c r="E956" s="17">
        <v>0.44059276598673403</v>
      </c>
      <c r="F956" s="17"/>
      <c r="G956" s="17">
        <v>0.41863303111755201</v>
      </c>
      <c r="H956" s="17">
        <v>0.43071676747951598</v>
      </c>
      <c r="I956" s="17">
        <v>0.44841827158603798</v>
      </c>
      <c r="J956" s="17">
        <v>0.47061052866415598</v>
      </c>
      <c r="K956" s="17">
        <v>0.45578681666674598</v>
      </c>
      <c r="L956" s="17">
        <v>0.42110119850678501</v>
      </c>
      <c r="M956" s="17"/>
      <c r="N956" s="17">
        <v>0.43237208841837899</v>
      </c>
      <c r="O956" s="17">
        <v>0.37270290519183602</v>
      </c>
      <c r="P956" s="17">
        <v>0.482038697749197</v>
      </c>
      <c r="Q956" s="17">
        <v>0.30266435931733698</v>
      </c>
      <c r="R956" s="17">
        <v>0.42332250624587803</v>
      </c>
      <c r="S956" s="17">
        <v>0.436374995139233</v>
      </c>
      <c r="T956" s="17">
        <v>0.44497860702457898</v>
      </c>
      <c r="U956" s="17">
        <v>0.54587644010746905</v>
      </c>
      <c r="V956" s="17">
        <v>0.50563422321497797</v>
      </c>
      <c r="W956" s="17"/>
      <c r="X956" s="17">
        <v>0.479199444563987</v>
      </c>
      <c r="Y956" s="17">
        <v>0.42002528104686199</v>
      </c>
    </row>
    <row r="957" spans="2:25" x14ac:dyDescent="0.35">
      <c r="B957" t="s">
        <v>376</v>
      </c>
      <c r="C957" s="17">
        <v>0.438185450327918</v>
      </c>
      <c r="D957" s="17">
        <v>0.45935323481215401</v>
      </c>
      <c r="E957" s="17">
        <v>0.41709017709857599</v>
      </c>
      <c r="F957" s="17"/>
      <c r="G957" s="17">
        <v>0.43830536005022602</v>
      </c>
      <c r="H957" s="17">
        <v>0.417634727875065</v>
      </c>
      <c r="I957" s="17">
        <v>0.450080623973386</v>
      </c>
      <c r="J957" s="17">
        <v>0.431748064541565</v>
      </c>
      <c r="K957" s="17">
        <v>0.44628342467215698</v>
      </c>
      <c r="L957" s="17">
        <v>0.44174509156071901</v>
      </c>
      <c r="M957" s="17"/>
      <c r="N957" s="17">
        <v>0.51327431112593502</v>
      </c>
      <c r="O957" s="17">
        <v>0.47083415873533302</v>
      </c>
      <c r="P957" s="17">
        <v>0.41244463968380202</v>
      </c>
      <c r="Q957" s="17">
        <v>0.46471532743140198</v>
      </c>
      <c r="R957" s="17">
        <v>0.40887530836819003</v>
      </c>
      <c r="S957" s="17">
        <v>0.46771689514145098</v>
      </c>
      <c r="T957" s="17">
        <v>0.43910236471956599</v>
      </c>
      <c r="U957" s="17">
        <v>0.35823037466568802</v>
      </c>
      <c r="V957" s="17">
        <v>0.577507141175991</v>
      </c>
      <c r="W957" s="17"/>
      <c r="X957" s="17">
        <v>0.48796323363136201</v>
      </c>
      <c r="Y957" s="17">
        <v>0.41064009131425799</v>
      </c>
    </row>
    <row r="958" spans="2:25" x14ac:dyDescent="0.35">
      <c r="B958" t="s">
        <v>375</v>
      </c>
      <c r="C958" s="17">
        <v>9.7912907106918606E-2</v>
      </c>
      <c r="D958" s="17">
        <v>9.1345410999233698E-2</v>
      </c>
      <c r="E958" s="17">
        <v>0.104487341608061</v>
      </c>
      <c r="F958" s="17"/>
      <c r="G958" s="17">
        <v>6.9609171248655094E-2</v>
      </c>
      <c r="H958" s="17">
        <v>7.0293795160953396E-2</v>
      </c>
      <c r="I958" s="17">
        <v>8.9946080124421707E-2</v>
      </c>
      <c r="J958" s="17">
        <v>0.108519327994091</v>
      </c>
      <c r="K958" s="17">
        <v>0.119010923093068</v>
      </c>
      <c r="L958" s="17">
        <v>0.108771482107067</v>
      </c>
      <c r="M958" s="17"/>
      <c r="N958" s="17">
        <v>6.7238216302652906E-2</v>
      </c>
      <c r="O958" s="17">
        <v>1.9631335394863898E-2</v>
      </c>
      <c r="P958" s="17">
        <v>7.8199040082915797E-2</v>
      </c>
      <c r="Q958" s="17">
        <v>0.16436816144408001</v>
      </c>
      <c r="R958" s="17">
        <v>9.2106763261035701E-2</v>
      </c>
      <c r="S958" s="17">
        <v>0.13284918082597999</v>
      </c>
      <c r="T958" s="17">
        <v>8.0176550894978701E-2</v>
      </c>
      <c r="U958" s="17">
        <v>8.4754541150295695E-2</v>
      </c>
      <c r="V958" s="17">
        <v>4.1397885818053301E-2</v>
      </c>
      <c r="W958" s="17"/>
      <c r="X958" s="17">
        <v>6.3413149224116006E-2</v>
      </c>
      <c r="Y958" s="17">
        <v>0.11700391827093699</v>
      </c>
    </row>
    <row r="959" spans="2:25" x14ac:dyDescent="0.35">
      <c r="B959" t="s">
        <v>68</v>
      </c>
      <c r="C959" s="17">
        <v>8.8868799293686396E-3</v>
      </c>
      <c r="D959" s="17">
        <v>9.3827571904995695E-3</v>
      </c>
      <c r="E959" s="17">
        <v>8.4556208381833201E-3</v>
      </c>
      <c r="F959" s="17"/>
      <c r="G959" s="17">
        <v>1.0134212377241001E-2</v>
      </c>
      <c r="H959" s="17">
        <v>3.3113858179550401E-3</v>
      </c>
      <c r="I959" s="17">
        <v>5.51783739314325E-3</v>
      </c>
      <c r="J959" s="17">
        <v>9.9280976352199898E-3</v>
      </c>
      <c r="K959" s="17">
        <v>5.1539309350998397E-3</v>
      </c>
      <c r="L959" s="17">
        <v>1.5629964014228899E-2</v>
      </c>
      <c r="M959" s="17"/>
      <c r="N959" s="17">
        <v>5.3529165649355802E-3</v>
      </c>
      <c r="O959" s="17">
        <v>3.31787660846319E-3</v>
      </c>
      <c r="P959" s="17">
        <v>7.3069378566550302E-3</v>
      </c>
      <c r="Q959" s="17">
        <v>4.7030052146199699E-3</v>
      </c>
      <c r="R959" s="17">
        <v>6.34403664507291E-3</v>
      </c>
      <c r="S959" s="17">
        <v>1.6681896855503298E-2</v>
      </c>
      <c r="T959" s="17">
        <v>7.3172027055178604E-3</v>
      </c>
      <c r="U959" s="17">
        <v>9.8888805459444208E-3</v>
      </c>
      <c r="V959" s="17">
        <v>1.6040336748219301E-2</v>
      </c>
      <c r="W959" s="17"/>
      <c r="X959" s="17">
        <v>8.0210205131739203E-3</v>
      </c>
      <c r="Y959" s="17">
        <v>9.3660175464266495E-3</v>
      </c>
    </row>
    <row r="960" spans="2:25" x14ac:dyDescent="0.35">
      <c r="C960" s="17"/>
      <c r="D960" s="17"/>
      <c r="E960" s="17"/>
      <c r="F960" s="17"/>
      <c r="G960" s="17"/>
      <c r="H960" s="17"/>
      <c r="I960" s="17"/>
      <c r="J960" s="17"/>
      <c r="K960" s="17"/>
      <c r="L960" s="17"/>
      <c r="M960" s="17"/>
      <c r="N960" s="17"/>
      <c r="O960" s="17"/>
      <c r="P960" s="17"/>
      <c r="Q960" s="17"/>
      <c r="R960" s="17"/>
      <c r="S960" s="17"/>
      <c r="T960" s="17"/>
      <c r="U960" s="17"/>
      <c r="V960" s="17"/>
      <c r="W960" s="17"/>
      <c r="X960" s="17"/>
      <c r="Y960" s="17"/>
    </row>
    <row r="961" spans="2:25" x14ac:dyDescent="0.35">
      <c r="B961" s="6" t="s">
        <v>386</v>
      </c>
      <c r="C961" s="17"/>
      <c r="D961" s="17"/>
      <c r="E961" s="17"/>
      <c r="F961" s="17"/>
      <c r="G961" s="17"/>
      <c r="H961" s="17"/>
      <c r="I961" s="17"/>
      <c r="J961" s="17"/>
      <c r="K961" s="17"/>
      <c r="L961" s="17"/>
      <c r="M961" s="17"/>
      <c r="N961" s="17"/>
      <c r="O961" s="17"/>
      <c r="P961" s="17"/>
      <c r="Q961" s="17"/>
      <c r="R961" s="17"/>
      <c r="S961" s="17"/>
      <c r="T961" s="17"/>
      <c r="U961" s="17"/>
      <c r="V961" s="17"/>
      <c r="W961" s="17"/>
      <c r="X961" s="17"/>
      <c r="Y961" s="17"/>
    </row>
    <row r="962" spans="2:25" x14ac:dyDescent="0.35">
      <c r="B962" s="24" t="s">
        <v>50</v>
      </c>
      <c r="C962" s="17"/>
      <c r="D962" s="17"/>
      <c r="E962" s="17"/>
      <c r="F962" s="17"/>
      <c r="G962" s="17"/>
      <c r="H962" s="17"/>
      <c r="I962" s="17"/>
      <c r="J962" s="17"/>
      <c r="K962" s="17"/>
      <c r="L962" s="17"/>
      <c r="M962" s="17"/>
      <c r="N962" s="17"/>
      <c r="O962" s="17"/>
      <c r="P962" s="17"/>
      <c r="Q962" s="17"/>
      <c r="R962" s="17"/>
      <c r="S962" s="17"/>
      <c r="T962" s="17"/>
      <c r="U962" s="17"/>
      <c r="V962" s="17"/>
      <c r="W962" s="17"/>
      <c r="X962" s="17"/>
      <c r="Y962" s="17"/>
    </row>
    <row r="963" spans="2:25" x14ac:dyDescent="0.35">
      <c r="B963" t="s">
        <v>379</v>
      </c>
      <c r="C963" s="17">
        <v>0.16992357090930699</v>
      </c>
      <c r="D963" s="17">
        <v>0.179377386370002</v>
      </c>
      <c r="E963" s="17">
        <v>0.16054577210441401</v>
      </c>
      <c r="F963" s="17"/>
      <c r="G963" s="17">
        <v>0.233623223038221</v>
      </c>
      <c r="H963" s="17">
        <v>0.22630347057983499</v>
      </c>
      <c r="I963" s="17">
        <v>0.20663835861984201</v>
      </c>
      <c r="J963" s="17">
        <v>0.17629249717820999</v>
      </c>
      <c r="K963" s="17">
        <v>0.1360186632616</v>
      </c>
      <c r="L963" s="17">
        <v>0.10725576804317399</v>
      </c>
      <c r="M963" s="17"/>
      <c r="N963" s="17">
        <v>0.330431107155708</v>
      </c>
      <c r="O963" s="17">
        <v>0.19320962317073001</v>
      </c>
      <c r="P963" s="17">
        <v>0.20834971560802701</v>
      </c>
      <c r="Q963" s="17">
        <v>7.5878846057478105E-2</v>
      </c>
      <c r="R963" s="17">
        <v>0.12974917606494299</v>
      </c>
      <c r="S963" s="17">
        <v>0.28730205500761202</v>
      </c>
      <c r="T963" s="17">
        <v>0.13458291830664201</v>
      </c>
      <c r="U963" s="17">
        <v>0.12879709304740899</v>
      </c>
      <c r="V963" s="17">
        <v>0.211203440090133</v>
      </c>
      <c r="W963" s="17"/>
      <c r="X963" s="17">
        <v>0.205863142210094</v>
      </c>
      <c r="Y963" s="17">
        <v>0.15003581519623299</v>
      </c>
    </row>
    <row r="964" spans="2:25" x14ac:dyDescent="0.35">
      <c r="B964" t="s">
        <v>380</v>
      </c>
      <c r="C964" s="17">
        <v>0.42646387153832299</v>
      </c>
      <c r="D964" s="17">
        <v>0.43416905227053099</v>
      </c>
      <c r="E964" s="17">
        <v>0.41912676595110598</v>
      </c>
      <c r="F964" s="17"/>
      <c r="G964" s="17">
        <v>0.41997052450420702</v>
      </c>
      <c r="H964" s="17">
        <v>0.43955651302148002</v>
      </c>
      <c r="I964" s="17">
        <v>0.46068303588540199</v>
      </c>
      <c r="J964" s="17">
        <v>0.427390242494323</v>
      </c>
      <c r="K964" s="17">
        <v>0.42097246125938498</v>
      </c>
      <c r="L964" s="17">
        <v>0.40216124495561301</v>
      </c>
      <c r="M964" s="17"/>
      <c r="N964" s="17">
        <v>0.42026456049145999</v>
      </c>
      <c r="O964" s="17">
        <v>0.55019286540027201</v>
      </c>
      <c r="P964" s="17">
        <v>0.49969786992833998</v>
      </c>
      <c r="Q964" s="17">
        <v>0.28491759986286702</v>
      </c>
      <c r="R964" s="17">
        <v>0.46136902618993902</v>
      </c>
      <c r="S964" s="17">
        <v>0.45269262388996401</v>
      </c>
      <c r="T964" s="17">
        <v>0.42498619845215402</v>
      </c>
      <c r="U964" s="17">
        <v>0.38982980780017901</v>
      </c>
      <c r="V964" s="17">
        <v>0.47993449965447699</v>
      </c>
      <c r="W964" s="17"/>
      <c r="X964" s="17">
        <v>0.46779222324311298</v>
      </c>
      <c r="Y964" s="17">
        <v>0.40359414513424502</v>
      </c>
    </row>
    <row r="965" spans="2:25" x14ac:dyDescent="0.35">
      <c r="B965" t="s">
        <v>381</v>
      </c>
      <c r="C965" s="17">
        <v>0.24537809718618001</v>
      </c>
      <c r="D965" s="17">
        <v>0.23511025639585301</v>
      </c>
      <c r="E965" s="17">
        <v>0.25573381558049801</v>
      </c>
      <c r="F965" s="17"/>
      <c r="G965" s="17">
        <v>0.229442034110452</v>
      </c>
      <c r="H965" s="17">
        <v>0.22111020950105501</v>
      </c>
      <c r="I965" s="17">
        <v>0.19682556854887001</v>
      </c>
      <c r="J965" s="17">
        <v>0.24425318724631101</v>
      </c>
      <c r="K965" s="17">
        <v>0.28676752623134399</v>
      </c>
      <c r="L965" s="17">
        <v>0.270344407275316</v>
      </c>
      <c r="M965" s="17"/>
      <c r="N965" s="17">
        <v>0.18042229391324699</v>
      </c>
      <c r="O965" s="17">
        <v>0.105364198580282</v>
      </c>
      <c r="P965" s="17">
        <v>0.190665667748982</v>
      </c>
      <c r="Q965" s="17">
        <v>0.31612846799653499</v>
      </c>
      <c r="R965" s="17">
        <v>0.27729381703745498</v>
      </c>
      <c r="S965" s="17">
        <v>0.17672453484766301</v>
      </c>
      <c r="T965" s="17">
        <v>0.31641065825187398</v>
      </c>
      <c r="U965" s="17">
        <v>0.25970003314633899</v>
      </c>
      <c r="V965" s="17">
        <v>0.18791198687894101</v>
      </c>
      <c r="W965" s="17"/>
      <c r="X965" s="17">
        <v>0.19879177513593699</v>
      </c>
      <c r="Y965" s="17">
        <v>0.27115740837361102</v>
      </c>
    </row>
    <row r="966" spans="2:25" x14ac:dyDescent="0.35">
      <c r="B966" t="s">
        <v>382</v>
      </c>
      <c r="C966" s="17">
        <v>8.2763360271744801E-2</v>
      </c>
      <c r="D966" s="17">
        <v>8.3938192658969596E-2</v>
      </c>
      <c r="E966" s="17">
        <v>8.1707368798294197E-2</v>
      </c>
      <c r="F966" s="17"/>
      <c r="G966" s="17">
        <v>7.4629601937878695E-2</v>
      </c>
      <c r="H966" s="17">
        <v>5.9183815053805502E-2</v>
      </c>
      <c r="I966" s="17">
        <v>6.9866453421287403E-2</v>
      </c>
      <c r="J966" s="17">
        <v>6.7736113676248502E-2</v>
      </c>
      <c r="K966" s="17">
        <v>8.3252704066172495E-2</v>
      </c>
      <c r="L966" s="17">
        <v>0.117968562612561</v>
      </c>
      <c r="M966" s="17"/>
      <c r="N966" s="17">
        <v>4.1564825563304701E-2</v>
      </c>
      <c r="O966" s="17">
        <v>0.14040397707365701</v>
      </c>
      <c r="P966" s="17">
        <v>6.5915474744090999E-2</v>
      </c>
      <c r="Q966" s="17">
        <v>0.12183426729680299</v>
      </c>
      <c r="R966" s="17">
        <v>7.9211312108972295E-2</v>
      </c>
      <c r="S966" s="17">
        <v>4.6621458915314197E-2</v>
      </c>
      <c r="T966" s="17">
        <v>5.27483719171878E-2</v>
      </c>
      <c r="U966" s="17">
        <v>0.12634875888923899</v>
      </c>
      <c r="V966" s="17">
        <v>8.5433575406272999E-2</v>
      </c>
      <c r="W966" s="17"/>
      <c r="X966" s="17">
        <v>7.9825275861139897E-2</v>
      </c>
      <c r="Y966" s="17">
        <v>8.4389197834843901E-2</v>
      </c>
    </row>
    <row r="967" spans="2:25" x14ac:dyDescent="0.35">
      <c r="B967" t="s">
        <v>383</v>
      </c>
      <c r="C967" s="17">
        <v>2.5070250923487199E-2</v>
      </c>
      <c r="D967" s="17">
        <v>2.5346168412655998E-2</v>
      </c>
      <c r="E967" s="17">
        <v>2.4430679306006901E-2</v>
      </c>
      <c r="F967" s="17"/>
      <c r="G967" s="17">
        <v>1.3718491548671601E-2</v>
      </c>
      <c r="H967" s="17">
        <v>2.1254884499867201E-2</v>
      </c>
      <c r="I967" s="17">
        <v>2.4147869095806299E-2</v>
      </c>
      <c r="J967" s="17">
        <v>2.22454014092732E-2</v>
      </c>
      <c r="K967" s="17">
        <v>2.0353085483761298E-2</v>
      </c>
      <c r="L967" s="17">
        <v>3.7180363009426502E-2</v>
      </c>
      <c r="M967" s="17"/>
      <c r="N967" s="17">
        <v>2.31685854402446E-2</v>
      </c>
      <c r="O967" s="17">
        <v>6.6731799456184503E-3</v>
      </c>
      <c r="P967" s="17">
        <v>1.49670921917334E-2</v>
      </c>
      <c r="Q967" s="17">
        <v>3.6188379450539203E-2</v>
      </c>
      <c r="R967" s="17">
        <v>1.6942193005590599E-2</v>
      </c>
      <c r="S967" s="17">
        <v>1.05619703803124E-2</v>
      </c>
      <c r="T967" s="17">
        <v>1.3938270792686801E-2</v>
      </c>
      <c r="U967" s="17">
        <v>6.7243573151337194E-2</v>
      </c>
      <c r="V967" s="17">
        <v>1.16537917689085E-2</v>
      </c>
      <c r="W967" s="17"/>
      <c r="X967" s="17">
        <v>2.07552423964865E-2</v>
      </c>
      <c r="Y967" s="17">
        <v>2.7458032201305101E-2</v>
      </c>
    </row>
    <row r="968" spans="2:25" x14ac:dyDescent="0.35">
      <c r="B968" t="s">
        <v>80</v>
      </c>
      <c r="C968" s="17">
        <v>5.0400849170957197E-2</v>
      </c>
      <c r="D968" s="17">
        <v>4.2058943891987798E-2</v>
      </c>
      <c r="E968" s="17">
        <v>5.8455598259681399E-2</v>
      </c>
      <c r="F968" s="17"/>
      <c r="G968" s="17">
        <v>2.86161248605699E-2</v>
      </c>
      <c r="H968" s="17">
        <v>3.2591107343957697E-2</v>
      </c>
      <c r="I968" s="17">
        <v>4.1838714428792702E-2</v>
      </c>
      <c r="J968" s="17">
        <v>6.2082557995634002E-2</v>
      </c>
      <c r="K968" s="17">
        <v>5.2635559697737498E-2</v>
      </c>
      <c r="L968" s="17">
        <v>6.5089654103909197E-2</v>
      </c>
      <c r="M968" s="17"/>
      <c r="N968" s="17">
        <v>4.14862743603551E-3</v>
      </c>
      <c r="O968" s="17">
        <v>4.1561558294397703E-3</v>
      </c>
      <c r="P968" s="17">
        <v>2.0404179778826099E-2</v>
      </c>
      <c r="Q968" s="17">
        <v>0.16505243933577701</v>
      </c>
      <c r="R968" s="17">
        <v>3.54344755930995E-2</v>
      </c>
      <c r="S968" s="17">
        <v>2.6097356959134298E-2</v>
      </c>
      <c r="T968" s="17">
        <v>5.7333582279455397E-2</v>
      </c>
      <c r="U968" s="17">
        <v>2.8080733965496599E-2</v>
      </c>
      <c r="V968" s="17">
        <v>2.38627062012669E-2</v>
      </c>
      <c r="W968" s="17"/>
      <c r="X968" s="17">
        <v>2.6972341153229801E-2</v>
      </c>
      <c r="Y968" s="17">
        <v>6.3365401259761506E-2</v>
      </c>
    </row>
    <row r="969" spans="2:25" x14ac:dyDescent="0.35">
      <c r="B969" t="s">
        <v>384</v>
      </c>
      <c r="C969" s="17">
        <v>0.59638744244762998</v>
      </c>
      <c r="D969" s="17">
        <v>0.61354643864053304</v>
      </c>
      <c r="E969" s="17">
        <v>0.57967253805551899</v>
      </c>
      <c r="F969" s="17"/>
      <c r="G969" s="17">
        <v>0.65359374754242805</v>
      </c>
      <c r="H969" s="17">
        <v>0.66585998360131504</v>
      </c>
      <c r="I969" s="17">
        <v>0.66732139450524397</v>
      </c>
      <c r="J969" s="17">
        <v>0.60368273967253305</v>
      </c>
      <c r="K969" s="17">
        <v>0.55699112452098498</v>
      </c>
      <c r="L969" s="17">
        <v>0.50941701299878706</v>
      </c>
      <c r="M969" s="17"/>
      <c r="N969" s="17">
        <v>0.750695667647168</v>
      </c>
      <c r="O969" s="17">
        <v>0.743402488571002</v>
      </c>
      <c r="P969" s="17">
        <v>0.70804758553636704</v>
      </c>
      <c r="Q969" s="17">
        <v>0.36079644592034599</v>
      </c>
      <c r="R969" s="17">
        <v>0.59111820225488199</v>
      </c>
      <c r="S969" s="17">
        <v>0.73999467889757597</v>
      </c>
      <c r="T969" s="17">
        <v>0.55956911675879595</v>
      </c>
      <c r="U969" s="17">
        <v>0.518626900847588</v>
      </c>
      <c r="V969" s="17">
        <v>0.69113793974461002</v>
      </c>
      <c r="W969" s="17"/>
      <c r="X969" s="17">
        <v>0.67365536545320703</v>
      </c>
      <c r="Y969" s="17">
        <v>0.55362996033047895</v>
      </c>
    </row>
    <row r="970" spans="2:25" x14ac:dyDescent="0.35">
      <c r="B970" t="s">
        <v>385</v>
      </c>
      <c r="C970" s="17">
        <v>0.10783361119523199</v>
      </c>
      <c r="D970" s="17">
        <v>0.10928436107162599</v>
      </c>
      <c r="E970" s="17">
        <v>0.106138048104301</v>
      </c>
      <c r="F970" s="17"/>
      <c r="G970" s="17">
        <v>8.8348093486550303E-2</v>
      </c>
      <c r="H970" s="17">
        <v>8.0438699553672693E-2</v>
      </c>
      <c r="I970" s="17">
        <v>9.4014322517093699E-2</v>
      </c>
      <c r="J970" s="17">
        <v>8.9981515085521699E-2</v>
      </c>
      <c r="K970" s="17">
        <v>0.103605789549934</v>
      </c>
      <c r="L970" s="17">
        <v>0.15514892562198801</v>
      </c>
      <c r="M970" s="17"/>
      <c r="N970" s="17">
        <v>6.4733411003549304E-2</v>
      </c>
      <c r="O970" s="17">
        <v>0.14707715701927501</v>
      </c>
      <c r="P970" s="17">
        <v>8.0882566935824393E-2</v>
      </c>
      <c r="Q970" s="17">
        <v>0.15802264674734201</v>
      </c>
      <c r="R970" s="17">
        <v>9.6153505114562804E-2</v>
      </c>
      <c r="S970" s="17">
        <v>5.7183429295626698E-2</v>
      </c>
      <c r="T970" s="17">
        <v>6.6686642709874594E-2</v>
      </c>
      <c r="U970" s="17">
        <v>0.19359233204057599</v>
      </c>
      <c r="V970" s="17">
        <v>9.7087367175181502E-2</v>
      </c>
      <c r="W970" s="17"/>
      <c r="X970" s="17">
        <v>0.100580518257626</v>
      </c>
      <c r="Y970" s="17">
        <v>0.11184723003614901</v>
      </c>
    </row>
    <row r="971" spans="2:25" x14ac:dyDescent="0.35">
      <c r="B971" t="s">
        <v>92</v>
      </c>
      <c r="C971" s="17">
        <v>0.48855383125239799</v>
      </c>
      <c r="D971" s="17">
        <v>0.50426207756890795</v>
      </c>
      <c r="E971" s="17">
        <v>0.473534489951218</v>
      </c>
      <c r="F971" s="17"/>
      <c r="G971" s="17">
        <v>0.56524565405587801</v>
      </c>
      <c r="H971" s="17">
        <v>0.58542128404764204</v>
      </c>
      <c r="I971" s="17">
        <v>0.57330707198815001</v>
      </c>
      <c r="J971" s="17">
        <v>0.51370122458701095</v>
      </c>
      <c r="K971" s="17">
        <v>0.45338533497105099</v>
      </c>
      <c r="L971" s="17">
        <v>0.35426808737679899</v>
      </c>
      <c r="M971" s="17"/>
      <c r="N971" s="17">
        <v>0.68596225664361898</v>
      </c>
      <c r="O971" s="17">
        <v>0.59632533155172696</v>
      </c>
      <c r="P971" s="17">
        <v>0.62716501860054297</v>
      </c>
      <c r="Q971" s="17">
        <v>0.20277379917300301</v>
      </c>
      <c r="R971" s="17">
        <v>0.49496469714031899</v>
      </c>
      <c r="S971" s="17">
        <v>0.68281124960194906</v>
      </c>
      <c r="T971" s="17">
        <v>0.49288247404892099</v>
      </c>
      <c r="U971" s="17">
        <v>0.32503456880701098</v>
      </c>
      <c r="V971" s="17">
        <v>0.59405057256942895</v>
      </c>
      <c r="W971" s="17"/>
      <c r="X971" s="17">
        <v>0.57307484719558099</v>
      </c>
      <c r="Y971" s="17">
        <v>0.44178273029433002</v>
      </c>
    </row>
    <row r="972" spans="2:25" x14ac:dyDescent="0.35">
      <c r="C972" s="17"/>
      <c r="D972" s="17"/>
      <c r="E972" s="17"/>
      <c r="F972" s="17"/>
      <c r="G972" s="17"/>
      <c r="H972" s="17"/>
      <c r="I972" s="17"/>
      <c r="J972" s="17"/>
      <c r="K972" s="17"/>
      <c r="L972" s="17"/>
      <c r="M972" s="17"/>
      <c r="N972" s="17"/>
      <c r="O972" s="17"/>
      <c r="P972" s="17"/>
      <c r="Q972" s="17"/>
      <c r="R972" s="17"/>
      <c r="S972" s="17"/>
      <c r="T972" s="17"/>
      <c r="U972" s="17"/>
      <c r="V972" s="17"/>
      <c r="W972" s="17"/>
      <c r="X972" s="17"/>
      <c r="Y972" s="17"/>
    </row>
    <row r="973" spans="2:25" x14ac:dyDescent="0.35">
      <c r="B973" s="6" t="s">
        <v>387</v>
      </c>
      <c r="C973" s="17"/>
      <c r="D973" s="17"/>
      <c r="E973" s="17"/>
      <c r="F973" s="17"/>
      <c r="G973" s="17"/>
      <c r="H973" s="17"/>
      <c r="I973" s="17"/>
      <c r="J973" s="17"/>
      <c r="K973" s="17"/>
      <c r="L973" s="17"/>
      <c r="M973" s="17"/>
      <c r="N973" s="17"/>
      <c r="O973" s="17"/>
      <c r="P973" s="17"/>
      <c r="Q973" s="17"/>
      <c r="R973" s="17"/>
      <c r="S973" s="17"/>
      <c r="T973" s="17"/>
      <c r="U973" s="17"/>
      <c r="V973" s="17"/>
      <c r="W973" s="17"/>
      <c r="X973" s="17"/>
      <c r="Y973" s="17"/>
    </row>
    <row r="974" spans="2:25" x14ac:dyDescent="0.35">
      <c r="B974" s="24" t="s">
        <v>50</v>
      </c>
      <c r="C974" s="17"/>
      <c r="D974" s="17"/>
      <c r="E974" s="17"/>
      <c r="F974" s="17"/>
      <c r="G974" s="17"/>
      <c r="H974" s="17"/>
      <c r="I974" s="17"/>
      <c r="J974" s="17"/>
      <c r="K974" s="17"/>
      <c r="L974" s="17"/>
      <c r="M974" s="17"/>
      <c r="N974" s="17"/>
      <c r="O974" s="17"/>
      <c r="P974" s="17"/>
      <c r="Q974" s="17"/>
      <c r="R974" s="17"/>
      <c r="S974" s="17"/>
      <c r="T974" s="17"/>
      <c r="U974" s="17"/>
      <c r="V974" s="17"/>
      <c r="W974" s="17"/>
      <c r="X974" s="17"/>
      <c r="Y974" s="17"/>
    </row>
    <row r="975" spans="2:25" x14ac:dyDescent="0.35">
      <c r="B975" t="s">
        <v>85</v>
      </c>
      <c r="C975" s="17">
        <v>0.18821424259972899</v>
      </c>
      <c r="D975" s="17">
        <v>0.20945762383859001</v>
      </c>
      <c r="E975" s="17">
        <v>0.16815460706135099</v>
      </c>
      <c r="F975" s="17"/>
      <c r="G975" s="17">
        <v>0.18837654392933001</v>
      </c>
      <c r="H975" s="17">
        <v>0.221971404872808</v>
      </c>
      <c r="I975" s="17">
        <v>0.211888808525453</v>
      </c>
      <c r="J975" s="17">
        <v>0.22438512933014801</v>
      </c>
      <c r="K975" s="17">
        <v>0.18061925819519001</v>
      </c>
      <c r="L975" s="17">
        <v>0.13326582268706499</v>
      </c>
      <c r="M975" s="17"/>
      <c r="N975" s="17">
        <v>0.29345302372082999</v>
      </c>
      <c r="O975" s="17">
        <v>0.29567690979788802</v>
      </c>
      <c r="P975" s="17">
        <v>0.18984349545861101</v>
      </c>
      <c r="Q975" s="17">
        <v>0.13082810761033101</v>
      </c>
      <c r="R975" s="17">
        <v>0.122932594055894</v>
      </c>
      <c r="S975" s="17">
        <v>0.31714895086519101</v>
      </c>
      <c r="T975" s="17">
        <v>0.15722127537359901</v>
      </c>
      <c r="U975" s="17">
        <v>0.14274735133952199</v>
      </c>
      <c r="V975" s="17">
        <v>0.250362308929233</v>
      </c>
      <c r="W975" s="17"/>
      <c r="X975" s="17">
        <v>0.23632940891582599</v>
      </c>
      <c r="Y975" s="17">
        <v>0.16158892017226101</v>
      </c>
    </row>
    <row r="976" spans="2:25" x14ac:dyDescent="0.35">
      <c r="B976" t="s">
        <v>86</v>
      </c>
      <c r="C976" s="17">
        <v>0.47460373552730301</v>
      </c>
      <c r="D976" s="17">
        <v>0.470758122141752</v>
      </c>
      <c r="E976" s="17">
        <v>0.47893617725919502</v>
      </c>
      <c r="F976" s="17"/>
      <c r="G976" s="17">
        <v>0.50129975188588505</v>
      </c>
      <c r="H976" s="17">
        <v>0.466473281747735</v>
      </c>
      <c r="I976" s="17">
        <v>0.47421527807295599</v>
      </c>
      <c r="J976" s="17">
        <v>0.45455212211586299</v>
      </c>
      <c r="K976" s="17">
        <v>0.47305317307045902</v>
      </c>
      <c r="L976" s="17">
        <v>0.48445404371063</v>
      </c>
      <c r="M976" s="17"/>
      <c r="N976" s="17">
        <v>0.48307624812099398</v>
      </c>
      <c r="O976" s="17">
        <v>0.49532160076489201</v>
      </c>
      <c r="P976" s="17">
        <v>0.53096529546660198</v>
      </c>
      <c r="Q976" s="17">
        <v>0.42050075343916898</v>
      </c>
      <c r="R976" s="17">
        <v>0.51595692968079798</v>
      </c>
      <c r="S976" s="17">
        <v>0.45828805825461599</v>
      </c>
      <c r="T976" s="17">
        <v>0.445500845194503</v>
      </c>
      <c r="U976" s="17">
        <v>0.46175918218196998</v>
      </c>
      <c r="V976" s="17">
        <v>0.496405663087092</v>
      </c>
      <c r="W976" s="17"/>
      <c r="X976" s="17">
        <v>0.48707882094946903</v>
      </c>
      <c r="Y976" s="17">
        <v>0.46770044084692602</v>
      </c>
    </row>
    <row r="977" spans="2:25" x14ac:dyDescent="0.35">
      <c r="B977" t="s">
        <v>181</v>
      </c>
      <c r="C977" s="17">
        <v>0.20824419292048699</v>
      </c>
      <c r="D977" s="17">
        <v>0.20044589429479301</v>
      </c>
      <c r="E977" s="17">
        <v>0.21521305821467199</v>
      </c>
      <c r="F977" s="17"/>
      <c r="G977" s="17">
        <v>0.214941994697641</v>
      </c>
      <c r="H977" s="17">
        <v>0.19503147051644501</v>
      </c>
      <c r="I977" s="17">
        <v>0.204371882258537</v>
      </c>
      <c r="J977" s="17">
        <v>0.19417353918337399</v>
      </c>
      <c r="K977" s="17">
        <v>0.219312631948965</v>
      </c>
      <c r="L977" s="17">
        <v>0.21838697075736799</v>
      </c>
      <c r="M977" s="17"/>
      <c r="N977" s="17">
        <v>0.130685533209805</v>
      </c>
      <c r="O977" s="17">
        <v>6.9845746265694994E-2</v>
      </c>
      <c r="P977" s="17">
        <v>0.192883029101409</v>
      </c>
      <c r="Q977" s="17">
        <v>0.23111249569918901</v>
      </c>
      <c r="R977" s="17">
        <v>0.22840980467786401</v>
      </c>
      <c r="S977" s="17">
        <v>0.148916838347292</v>
      </c>
      <c r="T977" s="17">
        <v>0.29279160289663902</v>
      </c>
      <c r="U977" s="17">
        <v>0.21649266216014601</v>
      </c>
      <c r="V977" s="17">
        <v>0.16481608293202499</v>
      </c>
      <c r="W977" s="17"/>
      <c r="X977" s="17">
        <v>0.18030222072399499</v>
      </c>
      <c r="Y977" s="17">
        <v>0.223706345001671</v>
      </c>
    </row>
    <row r="978" spans="2:25" x14ac:dyDescent="0.35">
      <c r="B978" t="s">
        <v>88</v>
      </c>
      <c r="C978" s="17">
        <v>7.2028794942755506E-2</v>
      </c>
      <c r="D978" s="17">
        <v>7.0031026481931297E-2</v>
      </c>
      <c r="E978" s="17">
        <v>7.3650529973098705E-2</v>
      </c>
      <c r="F978" s="17"/>
      <c r="G978" s="17">
        <v>6.0428358058536899E-2</v>
      </c>
      <c r="H978" s="17">
        <v>7.2430504497486406E-2</v>
      </c>
      <c r="I978" s="17">
        <v>6.3758652208751307E-2</v>
      </c>
      <c r="J978" s="17">
        <v>5.8550525681533898E-2</v>
      </c>
      <c r="K978" s="17">
        <v>7.20836642751599E-2</v>
      </c>
      <c r="L978" s="17">
        <v>9.0587204358279605E-2</v>
      </c>
      <c r="M978" s="17"/>
      <c r="N978" s="17">
        <v>5.9432397983615402E-2</v>
      </c>
      <c r="O978" s="17">
        <v>6.4176991268288006E-2</v>
      </c>
      <c r="P978" s="17">
        <v>5.2485627817650697E-2</v>
      </c>
      <c r="Q978" s="17">
        <v>0.101832238051343</v>
      </c>
      <c r="R978" s="17">
        <v>7.8351198358288299E-2</v>
      </c>
      <c r="S978" s="17">
        <v>4.3102113558702103E-2</v>
      </c>
      <c r="T978" s="17">
        <v>4.39604142694065E-2</v>
      </c>
      <c r="U978" s="17">
        <v>0.124623905383256</v>
      </c>
      <c r="V978" s="17">
        <v>5.2264066152954099E-2</v>
      </c>
      <c r="W978" s="17"/>
      <c r="X978" s="17">
        <v>6.6263865197167093E-2</v>
      </c>
      <c r="Y978" s="17">
        <v>7.5218914088132804E-2</v>
      </c>
    </row>
    <row r="979" spans="2:25" x14ac:dyDescent="0.35">
      <c r="B979" t="s">
        <v>89</v>
      </c>
      <c r="C979" s="17">
        <v>2.4852293939953699E-2</v>
      </c>
      <c r="D979" s="17">
        <v>2.3844999211381501E-2</v>
      </c>
      <c r="E979" s="17">
        <v>2.5652637472949599E-2</v>
      </c>
      <c r="F979" s="17"/>
      <c r="G979" s="17">
        <v>1.23573771365802E-2</v>
      </c>
      <c r="H979" s="17">
        <v>1.6004505566883501E-2</v>
      </c>
      <c r="I979" s="17">
        <v>1.7567840310518501E-2</v>
      </c>
      <c r="J979" s="17">
        <v>2.6330047769407599E-2</v>
      </c>
      <c r="K979" s="17">
        <v>2.65786994867887E-2</v>
      </c>
      <c r="L979" s="17">
        <v>3.7266451668917698E-2</v>
      </c>
      <c r="M979" s="17"/>
      <c r="N979" s="17">
        <v>2.2656682063594901E-2</v>
      </c>
      <c r="O979" s="17">
        <v>6.8288127932590897E-2</v>
      </c>
      <c r="P979" s="17">
        <v>1.0763656840057799E-2</v>
      </c>
      <c r="Q979" s="17">
        <v>4.3053982933791798E-2</v>
      </c>
      <c r="R979" s="17">
        <v>2.8026028039878002E-2</v>
      </c>
      <c r="S979" s="17">
        <v>8.28031442823602E-3</v>
      </c>
      <c r="T979" s="17">
        <v>1.8363434469421298E-2</v>
      </c>
      <c r="U979" s="17">
        <v>3.8906028558931299E-2</v>
      </c>
      <c r="V979" s="17">
        <v>8.9147879412427994E-3</v>
      </c>
      <c r="W979" s="17"/>
      <c r="X979" s="17">
        <v>1.5336196830223201E-2</v>
      </c>
      <c r="Y979" s="17">
        <v>3.0118183537698101E-2</v>
      </c>
    </row>
    <row r="980" spans="2:25" x14ac:dyDescent="0.35">
      <c r="B980" t="s">
        <v>224</v>
      </c>
      <c r="C980" s="17">
        <v>3.2056740069771598E-2</v>
      </c>
      <c r="D980" s="17">
        <v>2.5462334031552701E-2</v>
      </c>
      <c r="E980" s="17">
        <v>3.8392990018733697E-2</v>
      </c>
      <c r="F980" s="17"/>
      <c r="G980" s="17">
        <v>2.2595974292026599E-2</v>
      </c>
      <c r="H980" s="17">
        <v>2.8088832798643101E-2</v>
      </c>
      <c r="I980" s="17">
        <v>2.8197538623784001E-2</v>
      </c>
      <c r="J980" s="17">
        <v>4.2008635919673402E-2</v>
      </c>
      <c r="K980" s="17">
        <v>2.83525730234373E-2</v>
      </c>
      <c r="L980" s="17">
        <v>3.603950681774E-2</v>
      </c>
      <c r="M980" s="17"/>
      <c r="N980" s="17">
        <v>1.06961149011607E-2</v>
      </c>
      <c r="O980" s="17">
        <v>6.6906239706461404E-3</v>
      </c>
      <c r="P980" s="17">
        <v>2.30588953156683E-2</v>
      </c>
      <c r="Q980" s="17">
        <v>7.2672422266176304E-2</v>
      </c>
      <c r="R980" s="17">
        <v>2.6323445187277E-2</v>
      </c>
      <c r="S980" s="17">
        <v>2.4263724545963199E-2</v>
      </c>
      <c r="T980" s="17">
        <v>4.2162427796430701E-2</v>
      </c>
      <c r="U980" s="17">
        <v>1.5470870376175099E-2</v>
      </c>
      <c r="V980" s="17">
        <v>2.7237090957453199E-2</v>
      </c>
      <c r="W980" s="17"/>
      <c r="X980" s="17">
        <v>1.46894873833192E-2</v>
      </c>
      <c r="Y980" s="17">
        <v>4.1667196353311703E-2</v>
      </c>
    </row>
    <row r="981" spans="2:25" x14ac:dyDescent="0.35">
      <c r="B981" t="s">
        <v>90</v>
      </c>
      <c r="C981" s="17">
        <v>0.66281797812703303</v>
      </c>
      <c r="D981" s="17">
        <v>0.68021574598034196</v>
      </c>
      <c r="E981" s="17">
        <v>0.64709078432054601</v>
      </c>
      <c r="F981" s="17"/>
      <c r="G981" s="17">
        <v>0.68967629581521495</v>
      </c>
      <c r="H981" s="17">
        <v>0.68844468662054203</v>
      </c>
      <c r="I981" s="17">
        <v>0.68610408659840905</v>
      </c>
      <c r="J981" s="17">
        <v>0.67893725144601202</v>
      </c>
      <c r="K981" s="17">
        <v>0.653672431265649</v>
      </c>
      <c r="L981" s="17">
        <v>0.61771986639769505</v>
      </c>
      <c r="M981" s="17"/>
      <c r="N981" s="17">
        <v>0.77652927184182396</v>
      </c>
      <c r="O981" s="17">
        <v>0.79099851056278003</v>
      </c>
      <c r="P981" s="17">
        <v>0.72080879092521399</v>
      </c>
      <c r="Q981" s="17">
        <v>0.55132886104949996</v>
      </c>
      <c r="R981" s="17">
        <v>0.63888952373669206</v>
      </c>
      <c r="S981" s="17">
        <v>0.77543700911980695</v>
      </c>
      <c r="T981" s="17">
        <v>0.60272212056810204</v>
      </c>
      <c r="U981" s="17">
        <v>0.60450653352149197</v>
      </c>
      <c r="V981" s="17">
        <v>0.74676797201632406</v>
      </c>
      <c r="W981" s="17"/>
      <c r="X981" s="17">
        <v>0.72340822986529596</v>
      </c>
      <c r="Y981" s="17">
        <v>0.62928936101918698</v>
      </c>
    </row>
    <row r="982" spans="2:25" x14ac:dyDescent="0.35">
      <c r="B982" t="s">
        <v>91</v>
      </c>
      <c r="C982" s="17">
        <v>9.6881088882709201E-2</v>
      </c>
      <c r="D982" s="17">
        <v>9.3876025693312798E-2</v>
      </c>
      <c r="E982" s="17">
        <v>9.9303167446048293E-2</v>
      </c>
      <c r="F982" s="17"/>
      <c r="G982" s="17">
        <v>7.2785735195117093E-2</v>
      </c>
      <c r="H982" s="17">
        <v>8.8435010064369907E-2</v>
      </c>
      <c r="I982" s="17">
        <v>8.1326492519269794E-2</v>
      </c>
      <c r="J982" s="17">
        <v>8.4880573450941493E-2</v>
      </c>
      <c r="K982" s="17">
        <v>9.8662363761948604E-2</v>
      </c>
      <c r="L982" s="17">
        <v>0.127853656027197</v>
      </c>
      <c r="M982" s="17"/>
      <c r="N982" s="17">
        <v>8.20890800472103E-2</v>
      </c>
      <c r="O982" s="17">
        <v>0.132465119200879</v>
      </c>
      <c r="P982" s="17">
        <v>6.3249284657708502E-2</v>
      </c>
      <c r="Q982" s="17">
        <v>0.14488622098513501</v>
      </c>
      <c r="R982" s="17">
        <v>0.10637722639816601</v>
      </c>
      <c r="S982" s="17">
        <v>5.1382427986938102E-2</v>
      </c>
      <c r="T982" s="17">
        <v>6.2323848738827903E-2</v>
      </c>
      <c r="U982" s="17">
        <v>0.16352993394218701</v>
      </c>
      <c r="V982" s="17">
        <v>6.1178854094196898E-2</v>
      </c>
      <c r="W982" s="17"/>
      <c r="X982" s="17">
        <v>8.1600062027390299E-2</v>
      </c>
      <c r="Y982" s="17">
        <v>0.105337097625831</v>
      </c>
    </row>
    <row r="983" spans="2:25" x14ac:dyDescent="0.35">
      <c r="B983" t="s">
        <v>92</v>
      </c>
      <c r="C983" s="17">
        <v>0.56593688924432295</v>
      </c>
      <c r="D983" s="17">
        <v>0.58633972028702896</v>
      </c>
      <c r="E983" s="17">
        <v>0.54778761687449795</v>
      </c>
      <c r="F983" s="17"/>
      <c r="G983" s="17">
        <v>0.61689056062009795</v>
      </c>
      <c r="H983" s="17">
        <v>0.60000967655617199</v>
      </c>
      <c r="I983" s="17">
        <v>0.604777594079139</v>
      </c>
      <c r="J983" s="17">
        <v>0.59405667799507</v>
      </c>
      <c r="K983" s="17">
        <v>0.55501006750369997</v>
      </c>
      <c r="L983" s="17">
        <v>0.48986621037049799</v>
      </c>
      <c r="M983" s="17"/>
      <c r="N983" s="17">
        <v>0.69444019179461303</v>
      </c>
      <c r="O983" s="17">
        <v>0.65853339136190103</v>
      </c>
      <c r="P983" s="17">
        <v>0.65755950626750503</v>
      </c>
      <c r="Q983" s="17">
        <v>0.40644264006436598</v>
      </c>
      <c r="R983" s="17">
        <v>0.53251229733852601</v>
      </c>
      <c r="S983" s="17">
        <v>0.72405458113286902</v>
      </c>
      <c r="T983" s="17">
        <v>0.54039827182927402</v>
      </c>
      <c r="U983" s="17">
        <v>0.44097659957930502</v>
      </c>
      <c r="V983" s="17">
        <v>0.68558911792212796</v>
      </c>
      <c r="W983" s="17"/>
      <c r="X983" s="17">
        <v>0.64180816783790595</v>
      </c>
      <c r="Y983" s="17">
        <v>0.52395226339335599</v>
      </c>
    </row>
    <row r="984" spans="2:25" x14ac:dyDescent="0.35">
      <c r="C984" s="17"/>
      <c r="D984" s="17"/>
      <c r="E984" s="17"/>
      <c r="F984" s="17"/>
      <c r="G984" s="17"/>
      <c r="H984" s="17"/>
      <c r="I984" s="17"/>
      <c r="J984" s="17"/>
      <c r="K984" s="17"/>
      <c r="L984" s="17"/>
      <c r="M984" s="17"/>
      <c r="N984" s="17"/>
      <c r="O984" s="17"/>
      <c r="P984" s="17"/>
      <c r="Q984" s="17"/>
      <c r="R984" s="17"/>
      <c r="S984" s="17"/>
      <c r="T984" s="17"/>
      <c r="U984" s="17"/>
      <c r="V984" s="17"/>
      <c r="W984" s="17"/>
      <c r="X984" s="17"/>
      <c r="Y984" s="17"/>
    </row>
    <row r="985" spans="2:25" x14ac:dyDescent="0.35">
      <c r="B985" s="6" t="s">
        <v>402</v>
      </c>
      <c r="C985" s="17"/>
      <c r="D985" s="17"/>
      <c r="E985" s="17"/>
      <c r="F985" s="17"/>
      <c r="G985" s="17"/>
      <c r="H985" s="17"/>
      <c r="I985" s="17"/>
      <c r="J985" s="17"/>
      <c r="K985" s="17"/>
      <c r="L985" s="17"/>
      <c r="M985" s="17"/>
      <c r="N985" s="17"/>
      <c r="O985" s="17"/>
      <c r="P985" s="17"/>
      <c r="Q985" s="17"/>
      <c r="R985" s="17"/>
      <c r="S985" s="17"/>
      <c r="T985" s="17"/>
      <c r="U985" s="17"/>
      <c r="V985" s="17"/>
      <c r="W985" s="17"/>
      <c r="X985" s="17"/>
      <c r="Y985" s="17"/>
    </row>
    <row r="986" spans="2:25" x14ac:dyDescent="0.35">
      <c r="B986" s="24" t="s">
        <v>538</v>
      </c>
      <c r="C986" s="17"/>
      <c r="D986" s="17"/>
      <c r="E986" s="17"/>
      <c r="F986" s="17"/>
      <c r="G986" s="17"/>
      <c r="H986" s="17"/>
      <c r="I986" s="17"/>
      <c r="J986" s="17"/>
      <c r="K986" s="17"/>
      <c r="L986" s="17"/>
      <c r="M986" s="17"/>
      <c r="N986" s="17"/>
      <c r="O986" s="17"/>
      <c r="P986" s="17"/>
      <c r="Q986" s="17"/>
      <c r="R986" s="17"/>
      <c r="S986" s="17"/>
      <c r="T986" s="17"/>
      <c r="U986" s="17"/>
      <c r="V986" s="17"/>
      <c r="W986" s="17"/>
      <c r="X986" s="17"/>
      <c r="Y986" s="17"/>
    </row>
    <row r="987" spans="2:25" x14ac:dyDescent="0.35">
      <c r="B987" t="s">
        <v>396</v>
      </c>
      <c r="C987" s="17">
        <v>0.53837936643541195</v>
      </c>
      <c r="D987" s="17">
        <v>0.54992273425995397</v>
      </c>
      <c r="E987" s="17">
        <v>0.52463956436812098</v>
      </c>
      <c r="F987" s="17"/>
      <c r="G987" s="17">
        <v>0.47234953273735902</v>
      </c>
      <c r="H987" s="17">
        <v>0.47617822251776798</v>
      </c>
      <c r="I987" s="17">
        <v>0.577884105351817</v>
      </c>
      <c r="J987" s="17">
        <v>0.53940292654876598</v>
      </c>
      <c r="K987" s="17">
        <v>0.53402992948280703</v>
      </c>
      <c r="L987" s="17">
        <v>0.56734533870257198</v>
      </c>
      <c r="M987" s="17"/>
      <c r="N987" s="17">
        <v>0.68062358626115904</v>
      </c>
      <c r="O987" s="17">
        <v>0.60909722156179102</v>
      </c>
      <c r="P987" s="17">
        <v>0.64425042078494199</v>
      </c>
      <c r="Q987" s="17">
        <v>0.31925028167883701</v>
      </c>
      <c r="R987" s="17">
        <v>0.55784261234490795</v>
      </c>
      <c r="S987" s="17">
        <v>0.50136233585983803</v>
      </c>
      <c r="T987" s="17">
        <v>0.46420284564108399</v>
      </c>
      <c r="U987" s="17">
        <v>0.57704486042323699</v>
      </c>
      <c r="V987" s="17">
        <v>0.55453403273893498</v>
      </c>
      <c r="W987" s="17"/>
      <c r="X987" s="17">
        <v>0.56707363856049298</v>
      </c>
      <c r="Y987" s="17">
        <v>0.51591119716849598</v>
      </c>
    </row>
    <row r="988" spans="2:25" x14ac:dyDescent="0.35">
      <c r="B988" t="s">
        <v>397</v>
      </c>
      <c r="C988" s="17">
        <v>0.36585007804133102</v>
      </c>
      <c r="D988" s="17">
        <v>0.35838833544403598</v>
      </c>
      <c r="E988" s="17">
        <v>0.37520803528916702</v>
      </c>
      <c r="F988" s="17"/>
      <c r="G988" s="17">
        <v>0.42013140872344701</v>
      </c>
      <c r="H988" s="17">
        <v>0.398622021862167</v>
      </c>
      <c r="I988" s="17">
        <v>0.34354022591654498</v>
      </c>
      <c r="J988" s="17">
        <v>0.368842934928794</v>
      </c>
      <c r="K988" s="17">
        <v>0.36026409742425403</v>
      </c>
      <c r="L988" s="17">
        <v>0.34920755343418403</v>
      </c>
      <c r="M988" s="17"/>
      <c r="N988" s="17">
        <v>0.250699652273287</v>
      </c>
      <c r="O988" s="17">
        <v>0.28559044922552002</v>
      </c>
      <c r="P988" s="17">
        <v>0.31406095730787997</v>
      </c>
      <c r="Q988" s="17">
        <v>0.44842035334965402</v>
      </c>
      <c r="R988" s="17">
        <v>0.38617293225857902</v>
      </c>
      <c r="S988" s="17">
        <v>0.39711079061930099</v>
      </c>
      <c r="T988" s="17">
        <v>0.40825593996303</v>
      </c>
      <c r="U988" s="17">
        <v>0.33201836440494797</v>
      </c>
      <c r="V988" s="17">
        <v>0.34947674900625503</v>
      </c>
      <c r="W988" s="17"/>
      <c r="X988" s="17">
        <v>0.35571028608570499</v>
      </c>
      <c r="Y988" s="17">
        <v>0.37378973097963197</v>
      </c>
    </row>
    <row r="989" spans="2:25" x14ac:dyDescent="0.35">
      <c r="B989" t="s">
        <v>398</v>
      </c>
      <c r="C989" s="17">
        <v>7.42420969935461E-2</v>
      </c>
      <c r="D989" s="17">
        <v>6.8124113870681902E-2</v>
      </c>
      <c r="E989" s="17">
        <v>8.16052562249759E-2</v>
      </c>
      <c r="F989" s="17"/>
      <c r="G989" s="17">
        <v>7.2767491627102901E-2</v>
      </c>
      <c r="H989" s="17">
        <v>9.8328766298473105E-2</v>
      </c>
      <c r="I989" s="17">
        <v>6.2000957532678001E-2</v>
      </c>
      <c r="J989" s="17">
        <v>6.8991256375107293E-2</v>
      </c>
      <c r="K989" s="17">
        <v>8.3883059746617097E-2</v>
      </c>
      <c r="L989" s="17">
        <v>6.6227163157789704E-2</v>
      </c>
      <c r="M989" s="17"/>
      <c r="N989" s="17">
        <v>6.8676761465554195E-2</v>
      </c>
      <c r="O989" s="17">
        <v>4.0979221451592898E-2</v>
      </c>
      <c r="P989" s="17">
        <v>2.9899146062369202E-2</v>
      </c>
      <c r="Q989" s="17">
        <v>0.186159023993308</v>
      </c>
      <c r="R989" s="17">
        <v>3.4191913055837297E-2</v>
      </c>
      <c r="S989" s="17">
        <v>8.6479063540647994E-2</v>
      </c>
      <c r="T989" s="17">
        <v>0.105526786691637</v>
      </c>
      <c r="U989" s="17">
        <v>7.2031447264661499E-2</v>
      </c>
      <c r="V989" s="17">
        <v>6.9896082655105607E-2</v>
      </c>
      <c r="W989" s="17"/>
      <c r="X989" s="17">
        <v>5.8463630579039097E-2</v>
      </c>
      <c r="Y989" s="17">
        <v>8.6596940936899305E-2</v>
      </c>
    </row>
    <row r="990" spans="2:25" x14ac:dyDescent="0.35">
      <c r="B990" t="s">
        <v>399</v>
      </c>
      <c r="C990" s="17">
        <v>1.5608976339158901E-2</v>
      </c>
      <c r="D990" s="17">
        <v>1.5717401100439E-2</v>
      </c>
      <c r="E990" s="17">
        <v>1.4842493666372599E-2</v>
      </c>
      <c r="F990" s="17"/>
      <c r="G990" s="17">
        <v>3.22249888478933E-2</v>
      </c>
      <c r="H990" s="17">
        <v>1.9404873128132001E-2</v>
      </c>
      <c r="I990" s="17">
        <v>1.24493023989511E-2</v>
      </c>
      <c r="J990" s="17">
        <v>1.8221281857279399E-2</v>
      </c>
      <c r="K990" s="17">
        <v>7.6569901971619697E-3</v>
      </c>
      <c r="L990" s="17">
        <v>1.45804301282643E-2</v>
      </c>
      <c r="M990" s="17"/>
      <c r="N990" s="17">
        <v>0</v>
      </c>
      <c r="O990" s="17">
        <v>9.8090611367651504E-3</v>
      </c>
      <c r="P990" s="17">
        <v>7.9825388924049494E-3</v>
      </c>
      <c r="Q990" s="17">
        <v>3.8209452352766002E-2</v>
      </c>
      <c r="R990" s="17">
        <v>1.55210332612894E-2</v>
      </c>
      <c r="S990" s="17">
        <v>1.03790589234267E-2</v>
      </c>
      <c r="T990" s="17">
        <v>1.9339357093576998E-2</v>
      </c>
      <c r="U990" s="17">
        <v>1.5086424019622799E-2</v>
      </c>
      <c r="V990" s="17">
        <v>2.0717901061630101E-2</v>
      </c>
      <c r="W990" s="17"/>
      <c r="X990" s="17">
        <v>1.5807088518353701E-2</v>
      </c>
      <c r="Y990" s="17">
        <v>1.54538506765673E-2</v>
      </c>
    </row>
    <row r="991" spans="2:25" x14ac:dyDescent="0.35">
      <c r="B991" t="s">
        <v>400</v>
      </c>
      <c r="C991" s="17">
        <v>5.9194821905525496E-3</v>
      </c>
      <c r="D991" s="17">
        <v>7.8474153248893896E-3</v>
      </c>
      <c r="E991" s="17">
        <v>3.7046504513635202E-3</v>
      </c>
      <c r="F991" s="17"/>
      <c r="G991" s="17">
        <v>2.5265780641972402E-3</v>
      </c>
      <c r="H991" s="17">
        <v>7.4661161934595401E-3</v>
      </c>
      <c r="I991" s="17">
        <v>4.1254088000097196E-3</v>
      </c>
      <c r="J991" s="17">
        <v>4.5416002900526197E-3</v>
      </c>
      <c r="K991" s="17">
        <v>1.41659231491602E-2</v>
      </c>
      <c r="L991" s="17">
        <v>2.6395145771892399E-3</v>
      </c>
      <c r="M991" s="17"/>
      <c r="N991" s="17">
        <v>0</v>
      </c>
      <c r="O991" s="17">
        <v>5.45240466243311E-2</v>
      </c>
      <c r="P991" s="17">
        <v>3.8069369524029802E-3</v>
      </c>
      <c r="Q991" s="17">
        <v>7.9608886254350607E-3</v>
      </c>
      <c r="R991" s="17">
        <v>6.2715090793864304E-3</v>
      </c>
      <c r="S991" s="17">
        <v>4.6687510567864398E-3</v>
      </c>
      <c r="T991" s="17">
        <v>2.67507061067246E-3</v>
      </c>
      <c r="U991" s="17">
        <v>3.8189038875310502E-3</v>
      </c>
      <c r="V991" s="17">
        <v>5.3752345380747597E-3</v>
      </c>
      <c r="W991" s="17"/>
      <c r="X991" s="17">
        <v>2.9453562564097299E-3</v>
      </c>
      <c r="Y991" s="17">
        <v>8.2482802384052992E-3</v>
      </c>
    </row>
    <row r="992" spans="2:25" x14ac:dyDescent="0.35">
      <c r="C992" s="17"/>
      <c r="D992" s="17"/>
      <c r="E992" s="17"/>
      <c r="F992" s="17"/>
      <c r="G992" s="17"/>
      <c r="H992" s="17"/>
      <c r="I992" s="17"/>
      <c r="J992" s="17"/>
      <c r="K992" s="17"/>
      <c r="L992" s="17"/>
      <c r="M992" s="17"/>
      <c r="N992" s="17"/>
      <c r="O992" s="17"/>
      <c r="P992" s="17"/>
      <c r="Q992" s="17"/>
      <c r="R992" s="17"/>
      <c r="S992" s="17"/>
      <c r="T992" s="17"/>
      <c r="U992" s="17"/>
      <c r="V992" s="17"/>
      <c r="W992" s="17"/>
      <c r="X992" s="17"/>
      <c r="Y992" s="17"/>
    </row>
    <row r="993" spans="2:25" x14ac:dyDescent="0.35">
      <c r="B993" s="6" t="s">
        <v>403</v>
      </c>
      <c r="C993" s="17"/>
      <c r="D993" s="17"/>
      <c r="E993" s="17"/>
      <c r="F993" s="17"/>
      <c r="G993" s="17"/>
      <c r="H993" s="17"/>
      <c r="I993" s="17"/>
      <c r="J993" s="17"/>
      <c r="K993" s="17"/>
      <c r="L993" s="17"/>
      <c r="M993" s="17"/>
      <c r="N993" s="17"/>
      <c r="O993" s="17"/>
      <c r="P993" s="17"/>
      <c r="Q993" s="17"/>
      <c r="R993" s="17"/>
      <c r="S993" s="17"/>
      <c r="T993" s="17"/>
      <c r="U993" s="17"/>
      <c r="V993" s="17"/>
      <c r="W993" s="17"/>
      <c r="X993" s="17"/>
      <c r="Y993" s="17"/>
    </row>
    <row r="994" spans="2:25" x14ac:dyDescent="0.35">
      <c r="B994" s="24" t="s">
        <v>538</v>
      </c>
      <c r="C994" s="17"/>
      <c r="D994" s="17"/>
      <c r="E994" s="17"/>
      <c r="F994" s="17"/>
      <c r="G994" s="17"/>
      <c r="H994" s="17"/>
      <c r="I994" s="17"/>
      <c r="J994" s="17"/>
      <c r="K994" s="17"/>
      <c r="L994" s="17"/>
      <c r="M994" s="17"/>
      <c r="N994" s="17"/>
      <c r="O994" s="17"/>
      <c r="P994" s="17"/>
      <c r="Q994" s="17"/>
      <c r="R994" s="17"/>
      <c r="S994" s="17"/>
      <c r="T994" s="17"/>
      <c r="U994" s="17"/>
      <c r="V994" s="17"/>
      <c r="W994" s="17"/>
      <c r="X994" s="17"/>
      <c r="Y994" s="17"/>
    </row>
    <row r="995" spans="2:25" x14ac:dyDescent="0.35">
      <c r="B995" t="s">
        <v>396</v>
      </c>
      <c r="C995" s="17">
        <v>0.51868089734052902</v>
      </c>
      <c r="D995" s="17">
        <v>0.50987169926687304</v>
      </c>
      <c r="E995" s="17">
        <v>0.52875111551768195</v>
      </c>
      <c r="F995" s="17"/>
      <c r="G995" s="17">
        <v>0.423816594432122</v>
      </c>
      <c r="H995" s="17">
        <v>0.515949159701519</v>
      </c>
      <c r="I995" s="17">
        <v>0.53957545679854801</v>
      </c>
      <c r="J995" s="17">
        <v>0.560311939887428</v>
      </c>
      <c r="K995" s="17">
        <v>0.55469302217352401</v>
      </c>
      <c r="L995" s="17">
        <v>0.466186142649126</v>
      </c>
      <c r="M995" s="17"/>
      <c r="N995" s="17">
        <v>0.43406450564064802</v>
      </c>
      <c r="O995" s="17">
        <v>0.71535796862500001</v>
      </c>
      <c r="P995" s="17">
        <v>0.62256607077831005</v>
      </c>
      <c r="Q995" s="17">
        <v>0.30858097832008202</v>
      </c>
      <c r="R995" s="17">
        <v>0.52047377644252901</v>
      </c>
      <c r="S995" s="17">
        <v>0.546042110741491</v>
      </c>
      <c r="T995" s="17">
        <v>0.48223340822518801</v>
      </c>
      <c r="U995" s="17">
        <v>0.55445235765068401</v>
      </c>
      <c r="V995" s="17">
        <v>0.42447941114621901</v>
      </c>
      <c r="W995" s="17"/>
      <c r="X995" s="17">
        <v>0.53867731933699003</v>
      </c>
      <c r="Y995" s="17">
        <v>0.50655938290561098</v>
      </c>
    </row>
    <row r="996" spans="2:25" x14ac:dyDescent="0.35">
      <c r="B996" t="s">
        <v>397</v>
      </c>
      <c r="C996" s="17">
        <v>0.34721825067788198</v>
      </c>
      <c r="D996" s="17">
        <v>0.36169746222742299</v>
      </c>
      <c r="E996" s="17">
        <v>0.334230482231407</v>
      </c>
      <c r="F996" s="17"/>
      <c r="G996" s="17">
        <v>0.34181509200341698</v>
      </c>
      <c r="H996" s="17">
        <v>0.33295938269513298</v>
      </c>
      <c r="I996" s="17">
        <v>0.359697537857876</v>
      </c>
      <c r="J996" s="17">
        <v>0.31790440861008601</v>
      </c>
      <c r="K996" s="17">
        <v>0.36192632737564301</v>
      </c>
      <c r="L996" s="17">
        <v>0.383301871756273</v>
      </c>
      <c r="M996" s="17"/>
      <c r="N996" s="17">
        <v>0.30522509179352297</v>
      </c>
      <c r="O996" s="17">
        <v>0.27152903493617297</v>
      </c>
      <c r="P996" s="17">
        <v>0.28329766221876002</v>
      </c>
      <c r="Q996" s="17">
        <v>0.46194579191561702</v>
      </c>
      <c r="R996" s="17">
        <v>0.413005812479254</v>
      </c>
      <c r="S996" s="17">
        <v>0.29178557902397001</v>
      </c>
      <c r="T996" s="17">
        <v>0.402889731798863</v>
      </c>
      <c r="U996" s="17">
        <v>0.30919421754383197</v>
      </c>
      <c r="V996" s="17">
        <v>0.29928579488312002</v>
      </c>
      <c r="W996" s="17"/>
      <c r="X996" s="17">
        <v>0.32659378556438501</v>
      </c>
      <c r="Y996" s="17">
        <v>0.35972047490729497</v>
      </c>
    </row>
    <row r="997" spans="2:25" x14ac:dyDescent="0.35">
      <c r="B997" t="s">
        <v>398</v>
      </c>
      <c r="C997" s="17">
        <v>9.1278884790094106E-2</v>
      </c>
      <c r="D997" s="17">
        <v>9.5082446476521101E-2</v>
      </c>
      <c r="E997" s="17">
        <v>8.6627773869822303E-2</v>
      </c>
      <c r="F997" s="17"/>
      <c r="G997" s="17">
        <v>0.16438520020872199</v>
      </c>
      <c r="H997" s="17">
        <v>0.105311020780678</v>
      </c>
      <c r="I997" s="17">
        <v>7.9210126697031896E-2</v>
      </c>
      <c r="J997" s="17">
        <v>5.86698675843818E-2</v>
      </c>
      <c r="K997" s="17">
        <v>6.1710282102629799E-2</v>
      </c>
      <c r="L997" s="17">
        <v>0.109898992914833</v>
      </c>
      <c r="M997" s="17"/>
      <c r="N997" s="17">
        <v>0.164844362958107</v>
      </c>
      <c r="O997" s="17">
        <v>1.31129964388274E-2</v>
      </c>
      <c r="P997" s="17">
        <v>6.35519766545527E-2</v>
      </c>
      <c r="Q997" s="17">
        <v>0.11329391477344999</v>
      </c>
      <c r="R997" s="17">
        <v>2.77386131553542E-2</v>
      </c>
      <c r="S997" s="17">
        <v>0.12716669374584399</v>
      </c>
      <c r="T997" s="17">
        <v>0.102306431755086</v>
      </c>
      <c r="U997" s="17">
        <v>8.9226134665917695E-2</v>
      </c>
      <c r="V997" s="17">
        <v>0.17343511686663901</v>
      </c>
      <c r="W997" s="17"/>
      <c r="X997" s="17">
        <v>0.107893858787815</v>
      </c>
      <c r="Y997" s="17">
        <v>8.1207150597606206E-2</v>
      </c>
    </row>
    <row r="998" spans="2:25" x14ac:dyDescent="0.35">
      <c r="B998" t="s">
        <v>399</v>
      </c>
      <c r="C998" s="17">
        <v>3.52665830775599E-2</v>
      </c>
      <c r="D998" s="17">
        <v>2.7382120532979799E-2</v>
      </c>
      <c r="E998" s="17">
        <v>4.25829664596011E-2</v>
      </c>
      <c r="F998" s="17"/>
      <c r="G998" s="17">
        <v>6.4212134541212301E-2</v>
      </c>
      <c r="H998" s="17">
        <v>3.7543775117583701E-2</v>
      </c>
      <c r="I998" s="17">
        <v>2.0008038166281002E-2</v>
      </c>
      <c r="J998" s="17">
        <v>4.7279395041551299E-2</v>
      </c>
      <c r="K998" s="17">
        <v>1.3701590829960799E-2</v>
      </c>
      <c r="L998" s="17">
        <v>3.6350991545380101E-2</v>
      </c>
      <c r="M998" s="17"/>
      <c r="N998" s="17">
        <v>6.1333699131112897E-2</v>
      </c>
      <c r="O998" s="17">
        <v>0</v>
      </c>
      <c r="P998" s="17">
        <v>2.5261806953652301E-2</v>
      </c>
      <c r="Q998" s="17">
        <v>9.70535416027829E-2</v>
      </c>
      <c r="R998" s="17">
        <v>2.2362693613782299E-2</v>
      </c>
      <c r="S998" s="17">
        <v>3.5005616488695303E-2</v>
      </c>
      <c r="T998" s="17">
        <v>8.1037807327873496E-3</v>
      </c>
      <c r="U998" s="17">
        <v>4.1409061765933099E-2</v>
      </c>
      <c r="V998" s="17">
        <v>0.10279967710402201</v>
      </c>
      <c r="W998" s="17"/>
      <c r="X998" s="17">
        <v>2.2147177900328101E-2</v>
      </c>
      <c r="Y998" s="17">
        <v>4.3219358792210699E-2</v>
      </c>
    </row>
    <row r="999" spans="2:25" x14ac:dyDescent="0.35">
      <c r="B999" t="s">
        <v>400</v>
      </c>
      <c r="C999" s="17">
        <v>7.5553841139347697E-3</v>
      </c>
      <c r="D999" s="17">
        <v>5.9662714962030001E-3</v>
      </c>
      <c r="E999" s="17">
        <v>7.8076619214880599E-3</v>
      </c>
      <c r="F999" s="17"/>
      <c r="G999" s="17">
        <v>5.7709788145257597E-3</v>
      </c>
      <c r="H999" s="17">
        <v>8.2366617050860496E-3</v>
      </c>
      <c r="I999" s="17">
        <v>1.50884048026316E-3</v>
      </c>
      <c r="J999" s="17">
        <v>1.5834388876553401E-2</v>
      </c>
      <c r="K999" s="17">
        <v>7.9687775182422406E-3</v>
      </c>
      <c r="L999" s="17">
        <v>4.2620011343875702E-3</v>
      </c>
      <c r="M999" s="17"/>
      <c r="N999" s="17">
        <v>3.4532340476609302E-2</v>
      </c>
      <c r="O999" s="17">
        <v>0</v>
      </c>
      <c r="P999" s="17">
        <v>5.3224833947251296E-3</v>
      </c>
      <c r="Q999" s="17">
        <v>1.9125773388068201E-2</v>
      </c>
      <c r="R999" s="17">
        <v>1.6419104309080199E-2</v>
      </c>
      <c r="S999" s="17">
        <v>0</v>
      </c>
      <c r="T999" s="17">
        <v>4.4666474880761999E-3</v>
      </c>
      <c r="U999" s="17">
        <v>5.7182283736330903E-3</v>
      </c>
      <c r="V999" s="17">
        <v>0</v>
      </c>
      <c r="W999" s="17"/>
      <c r="X999" s="17">
        <v>4.6878584104821999E-3</v>
      </c>
      <c r="Y999" s="17">
        <v>9.2936327972768708E-3</v>
      </c>
    </row>
    <row r="1000" spans="2:25" x14ac:dyDescent="0.35">
      <c r="C1000" s="17"/>
      <c r="D1000" s="17"/>
      <c r="E1000" s="17"/>
      <c r="F1000" s="17"/>
      <c r="G1000" s="17"/>
      <c r="H1000" s="17"/>
      <c r="I1000" s="17"/>
      <c r="J1000" s="17"/>
      <c r="K1000" s="17"/>
      <c r="L1000" s="17"/>
      <c r="M1000" s="17"/>
      <c r="N1000" s="17"/>
      <c r="O1000" s="17"/>
      <c r="P1000" s="17"/>
      <c r="Q1000" s="17"/>
      <c r="R1000" s="17"/>
      <c r="S1000" s="17"/>
      <c r="T1000" s="17"/>
      <c r="U1000" s="17"/>
      <c r="V1000" s="17"/>
      <c r="W1000" s="17"/>
      <c r="X1000" s="17"/>
      <c r="Y1000" s="17"/>
    </row>
    <row r="1001" spans="2:25" x14ac:dyDescent="0.35">
      <c r="B1001" s="6" t="s">
        <v>404</v>
      </c>
      <c r="C1001" s="17"/>
      <c r="D1001" s="17"/>
      <c r="E1001" s="17"/>
      <c r="F1001" s="17"/>
      <c r="G1001" s="17"/>
      <c r="H1001" s="17"/>
      <c r="I1001" s="17"/>
      <c r="J1001" s="17"/>
      <c r="K1001" s="17"/>
      <c r="L1001" s="17"/>
      <c r="M1001" s="17"/>
      <c r="N1001" s="17"/>
      <c r="O1001" s="17"/>
      <c r="P1001" s="17"/>
      <c r="Q1001" s="17"/>
      <c r="R1001" s="17"/>
      <c r="S1001" s="17"/>
      <c r="T1001" s="17"/>
      <c r="U1001" s="17"/>
      <c r="V1001" s="17"/>
      <c r="W1001" s="17"/>
      <c r="X1001" s="17"/>
      <c r="Y1001" s="17"/>
    </row>
    <row r="1002" spans="2:25" x14ac:dyDescent="0.35">
      <c r="B1002" s="24" t="s">
        <v>538</v>
      </c>
      <c r="C1002" s="17"/>
      <c r="D1002" s="17"/>
      <c r="E1002" s="17"/>
      <c r="F1002" s="17"/>
      <c r="G1002" s="17"/>
      <c r="H1002" s="17"/>
      <c r="I1002" s="17"/>
      <c r="J1002" s="17"/>
      <c r="K1002" s="17"/>
      <c r="L1002" s="17"/>
      <c r="M1002" s="17"/>
      <c r="N1002" s="17"/>
      <c r="O1002" s="17"/>
      <c r="P1002" s="17"/>
      <c r="Q1002" s="17"/>
      <c r="R1002" s="17"/>
      <c r="S1002" s="17"/>
      <c r="T1002" s="17"/>
      <c r="U1002" s="17"/>
      <c r="V1002" s="17"/>
      <c r="W1002" s="17"/>
      <c r="X1002" s="17"/>
      <c r="Y1002" s="17"/>
    </row>
    <row r="1003" spans="2:25" x14ac:dyDescent="0.35">
      <c r="B1003" t="s">
        <v>396</v>
      </c>
      <c r="C1003" s="17">
        <v>0.60781874594351404</v>
      </c>
      <c r="D1003" s="17">
        <v>0.58411679154104901</v>
      </c>
      <c r="E1003" s="17">
        <v>0.62743041769545405</v>
      </c>
      <c r="F1003" s="17"/>
      <c r="G1003" s="17">
        <v>0.57764544746325197</v>
      </c>
      <c r="H1003" s="17">
        <v>0.51792512229542798</v>
      </c>
      <c r="I1003" s="17">
        <v>0.61701340256942205</v>
      </c>
      <c r="J1003" s="17">
        <v>0.63216979450687805</v>
      </c>
      <c r="K1003" s="17">
        <v>0.60693259895566298</v>
      </c>
      <c r="L1003" s="17">
        <v>0.65050316357121496</v>
      </c>
      <c r="M1003" s="17"/>
      <c r="N1003" s="17">
        <v>0.72141608691506198</v>
      </c>
      <c r="O1003" s="17">
        <v>0.73648044133009505</v>
      </c>
      <c r="P1003" s="17">
        <v>0.65688725120015201</v>
      </c>
      <c r="Q1003" s="17">
        <v>0.53459522557860994</v>
      </c>
      <c r="R1003" s="17">
        <v>0.61258966228076095</v>
      </c>
      <c r="S1003" s="17">
        <v>0.54468497733050503</v>
      </c>
      <c r="T1003" s="17">
        <v>0.46977740280045099</v>
      </c>
      <c r="U1003" s="17">
        <v>0.71367236537749201</v>
      </c>
      <c r="V1003" s="17">
        <v>0.57957575751828905</v>
      </c>
      <c r="W1003" s="17"/>
      <c r="X1003" s="17">
        <v>0.61711427969604504</v>
      </c>
      <c r="Y1003" s="17">
        <v>0.60177236374836895</v>
      </c>
    </row>
    <row r="1004" spans="2:25" x14ac:dyDescent="0.35">
      <c r="B1004" t="s">
        <v>397</v>
      </c>
      <c r="C1004" s="17">
        <v>0.31933503105500199</v>
      </c>
      <c r="D1004" s="17">
        <v>0.34761485378859902</v>
      </c>
      <c r="E1004" s="17">
        <v>0.29602214512780101</v>
      </c>
      <c r="F1004" s="17"/>
      <c r="G1004" s="17">
        <v>0.31302622744537401</v>
      </c>
      <c r="H1004" s="17">
        <v>0.38253656439381101</v>
      </c>
      <c r="I1004" s="17">
        <v>0.30423467095568302</v>
      </c>
      <c r="J1004" s="17">
        <v>0.29356251691509</v>
      </c>
      <c r="K1004" s="17">
        <v>0.33048308573757301</v>
      </c>
      <c r="L1004" s="17">
        <v>0.30351467901533102</v>
      </c>
      <c r="M1004" s="17"/>
      <c r="N1004" s="17">
        <v>0.23583632762526299</v>
      </c>
      <c r="O1004" s="17">
        <v>0.24631515695711001</v>
      </c>
      <c r="P1004" s="17">
        <v>0.28452765197928298</v>
      </c>
      <c r="Q1004" s="17">
        <v>0.35411146077060601</v>
      </c>
      <c r="R1004" s="17">
        <v>0.337890857454551</v>
      </c>
      <c r="S1004" s="17">
        <v>0.359228877948498</v>
      </c>
      <c r="T1004" s="17">
        <v>0.418367771802379</v>
      </c>
      <c r="U1004" s="17">
        <v>0.23597419991190499</v>
      </c>
      <c r="V1004" s="17">
        <v>0.34504226143096201</v>
      </c>
      <c r="W1004" s="17"/>
      <c r="X1004" s="17">
        <v>0.31570549923774599</v>
      </c>
      <c r="Y1004" s="17">
        <v>0.321695899956221</v>
      </c>
    </row>
    <row r="1005" spans="2:25" x14ac:dyDescent="0.35">
      <c r="B1005" t="s">
        <v>398</v>
      </c>
      <c r="C1005" s="17">
        <v>5.82094744905313E-2</v>
      </c>
      <c r="D1005" s="17">
        <v>5.5930240127066197E-2</v>
      </c>
      <c r="E1005" s="17">
        <v>6.0334497445108402E-2</v>
      </c>
      <c r="F1005" s="17"/>
      <c r="G1005" s="17">
        <v>8.4104996515016198E-2</v>
      </c>
      <c r="H1005" s="17">
        <v>8.1086361204179697E-2</v>
      </c>
      <c r="I1005" s="17">
        <v>6.6855427230141706E-2</v>
      </c>
      <c r="J1005" s="17">
        <v>6.4482707372684606E-2</v>
      </c>
      <c r="K1005" s="17">
        <v>4.5248264293853403E-2</v>
      </c>
      <c r="L1005" s="17">
        <v>3.4226466816822301E-2</v>
      </c>
      <c r="M1005" s="17"/>
      <c r="N1005" s="17">
        <v>1.8332789940451399E-2</v>
      </c>
      <c r="O1005" s="17">
        <v>1.0888169466793701E-2</v>
      </c>
      <c r="P1005" s="17">
        <v>4.9302170362486498E-2</v>
      </c>
      <c r="Q1005" s="17">
        <v>8.2484034504626894E-2</v>
      </c>
      <c r="R1005" s="17">
        <v>3.7867199336660599E-2</v>
      </c>
      <c r="S1005" s="17">
        <v>8.3480007495794206E-2</v>
      </c>
      <c r="T1005" s="17">
        <v>9.20314113386973E-2</v>
      </c>
      <c r="U1005" s="17">
        <v>4.14728747082386E-2</v>
      </c>
      <c r="V1005" s="17">
        <v>5.6336749616049397E-2</v>
      </c>
      <c r="W1005" s="17"/>
      <c r="X1005" s="17">
        <v>5.3455424187800901E-2</v>
      </c>
      <c r="Y1005" s="17">
        <v>6.1301798812137001E-2</v>
      </c>
    </row>
    <row r="1006" spans="2:25" x14ac:dyDescent="0.35">
      <c r="B1006" t="s">
        <v>399</v>
      </c>
      <c r="C1006" s="17">
        <v>9.9098186231577901E-3</v>
      </c>
      <c r="D1006" s="17">
        <v>7.82980129708764E-3</v>
      </c>
      <c r="E1006" s="17">
        <v>1.1284695123419E-2</v>
      </c>
      <c r="F1006" s="17"/>
      <c r="G1006" s="17">
        <v>2.2744452504441699E-2</v>
      </c>
      <c r="H1006" s="17">
        <v>1.2935036644904601E-2</v>
      </c>
      <c r="I1006" s="17">
        <v>7.2727004855283502E-3</v>
      </c>
      <c r="J1006" s="17">
        <v>4.72802711981931E-3</v>
      </c>
      <c r="K1006" s="17">
        <v>8.3988696797041608E-3</v>
      </c>
      <c r="L1006" s="17">
        <v>9.7573367793490299E-3</v>
      </c>
      <c r="M1006" s="17"/>
      <c r="N1006" s="17">
        <v>7.5409753547168897E-3</v>
      </c>
      <c r="O1006" s="17">
        <v>6.3162322460016303E-3</v>
      </c>
      <c r="P1006" s="17">
        <v>5.9070149408632601E-3</v>
      </c>
      <c r="Q1006" s="17">
        <v>1.9108117550164901E-2</v>
      </c>
      <c r="R1006" s="17">
        <v>9.7407880060540308E-3</v>
      </c>
      <c r="S1006" s="17">
        <v>9.7090126733336904E-3</v>
      </c>
      <c r="T1006" s="17">
        <v>1.4994147822304999E-2</v>
      </c>
      <c r="U1006" s="17">
        <v>6.8228919834890803E-3</v>
      </c>
      <c r="V1006" s="17">
        <v>7.0913358165359897E-3</v>
      </c>
      <c r="W1006" s="17"/>
      <c r="X1006" s="17">
        <v>9.1297615054466309E-3</v>
      </c>
      <c r="Y1006" s="17">
        <v>1.0417215357255099E-2</v>
      </c>
    </row>
    <row r="1007" spans="2:25" x14ac:dyDescent="0.35">
      <c r="B1007" t="s">
        <v>400</v>
      </c>
      <c r="C1007" s="17">
        <v>4.7269298877938301E-3</v>
      </c>
      <c r="D1007" s="17">
        <v>4.5083132461978901E-3</v>
      </c>
      <c r="E1007" s="17">
        <v>4.9282446082174799E-3</v>
      </c>
      <c r="F1007" s="17"/>
      <c r="G1007" s="17">
        <v>2.4788760719163801E-3</v>
      </c>
      <c r="H1007" s="17">
        <v>5.5169154616772397E-3</v>
      </c>
      <c r="I1007" s="17">
        <v>4.6237987592243303E-3</v>
      </c>
      <c r="J1007" s="17">
        <v>5.0569540855276698E-3</v>
      </c>
      <c r="K1007" s="17">
        <v>8.9371813332069592E-3</v>
      </c>
      <c r="L1007" s="17">
        <v>1.9983538172831002E-3</v>
      </c>
      <c r="M1007" s="17"/>
      <c r="N1007" s="17">
        <v>1.6873820164506299E-2</v>
      </c>
      <c r="O1007" s="17">
        <v>0</v>
      </c>
      <c r="P1007" s="17">
        <v>3.37591151721522E-3</v>
      </c>
      <c r="Q1007" s="17">
        <v>9.7011615959930707E-3</v>
      </c>
      <c r="R1007" s="17">
        <v>1.91149292197334E-3</v>
      </c>
      <c r="S1007" s="17">
        <v>2.8971245518698801E-3</v>
      </c>
      <c r="T1007" s="17">
        <v>4.8292662361675296E-3</v>
      </c>
      <c r="U1007" s="17">
        <v>2.0576680188757802E-3</v>
      </c>
      <c r="V1007" s="17">
        <v>1.19538956181635E-2</v>
      </c>
      <c r="W1007" s="17"/>
      <c r="X1007" s="17">
        <v>4.5950353729617898E-3</v>
      </c>
      <c r="Y1007" s="17">
        <v>4.812722126018E-3</v>
      </c>
    </row>
    <row r="1008" spans="2:25" x14ac:dyDescent="0.35">
      <c r="C1008" s="17"/>
      <c r="D1008" s="17"/>
      <c r="E1008" s="17"/>
      <c r="F1008" s="17"/>
      <c r="G1008" s="17"/>
      <c r="H1008" s="17"/>
      <c r="I1008" s="17"/>
      <c r="J1008" s="17"/>
      <c r="K1008" s="17"/>
      <c r="L1008" s="17"/>
      <c r="M1008" s="17"/>
      <c r="N1008" s="17"/>
      <c r="O1008" s="17"/>
      <c r="P1008" s="17"/>
      <c r="Q1008" s="17"/>
      <c r="R1008" s="17"/>
      <c r="S1008" s="17"/>
      <c r="T1008" s="17"/>
      <c r="U1008" s="17"/>
      <c r="V1008" s="17"/>
      <c r="W1008" s="17"/>
      <c r="X1008" s="17"/>
      <c r="Y1008" s="17"/>
    </row>
    <row r="1009" spans="2:25" x14ac:dyDescent="0.35">
      <c r="B1009" s="6" t="s">
        <v>405</v>
      </c>
      <c r="C1009" s="17"/>
      <c r="D1009" s="17"/>
      <c r="E1009" s="17"/>
      <c r="F1009" s="17"/>
      <c r="G1009" s="17"/>
      <c r="H1009" s="17"/>
      <c r="I1009" s="17"/>
      <c r="J1009" s="17"/>
      <c r="K1009" s="17"/>
      <c r="L1009" s="17"/>
      <c r="M1009" s="17"/>
      <c r="N1009" s="17"/>
      <c r="O1009" s="17"/>
      <c r="P1009" s="17"/>
      <c r="Q1009" s="17"/>
      <c r="R1009" s="17"/>
      <c r="S1009" s="17"/>
      <c r="T1009" s="17"/>
      <c r="U1009" s="17"/>
      <c r="V1009" s="17"/>
      <c r="W1009" s="17"/>
      <c r="X1009" s="17"/>
      <c r="Y1009" s="17"/>
    </row>
    <row r="1010" spans="2:25" x14ac:dyDescent="0.35">
      <c r="B1010" s="24" t="s">
        <v>538</v>
      </c>
      <c r="C1010" s="17"/>
      <c r="D1010" s="17"/>
      <c r="E1010" s="17"/>
      <c r="F1010" s="17"/>
      <c r="G1010" s="17"/>
      <c r="H1010" s="17"/>
      <c r="I1010" s="17"/>
      <c r="J1010" s="17"/>
      <c r="K1010" s="17"/>
      <c r="L1010" s="17"/>
      <c r="M1010" s="17"/>
      <c r="N1010" s="17"/>
      <c r="O1010" s="17"/>
      <c r="P1010" s="17"/>
      <c r="Q1010" s="17"/>
      <c r="R1010" s="17"/>
      <c r="S1010" s="17"/>
      <c r="T1010" s="17"/>
      <c r="U1010" s="17"/>
      <c r="V1010" s="17"/>
      <c r="W1010" s="17"/>
      <c r="X1010" s="17"/>
      <c r="Y1010" s="17"/>
    </row>
    <row r="1011" spans="2:25" x14ac:dyDescent="0.35">
      <c r="B1011" t="s">
        <v>396</v>
      </c>
      <c r="C1011" s="17">
        <v>0.55404570146288401</v>
      </c>
      <c r="D1011" s="17">
        <v>0.52971572850362802</v>
      </c>
      <c r="E1011" s="17">
        <v>0.57718393734405804</v>
      </c>
      <c r="F1011" s="17"/>
      <c r="G1011" s="17">
        <v>0.47183606849438198</v>
      </c>
      <c r="H1011" s="17">
        <v>0.47077253260816099</v>
      </c>
      <c r="I1011" s="17">
        <v>0.53439679993080702</v>
      </c>
      <c r="J1011" s="17">
        <v>0.61111003027222099</v>
      </c>
      <c r="K1011" s="17">
        <v>0.60367555739118595</v>
      </c>
      <c r="L1011" s="17">
        <v>0.58410226043425195</v>
      </c>
      <c r="M1011" s="17"/>
      <c r="N1011" s="17">
        <v>0.53434547616447103</v>
      </c>
      <c r="O1011" s="17">
        <v>0.52610295630702197</v>
      </c>
      <c r="P1011" s="17">
        <v>0.56739845115679299</v>
      </c>
      <c r="Q1011" s="17">
        <v>0.49926561149290399</v>
      </c>
      <c r="R1011" s="17">
        <v>0.65998133806495896</v>
      </c>
      <c r="S1011" s="17">
        <v>0.48807044981303699</v>
      </c>
      <c r="T1011" s="17">
        <v>0.49057154810846298</v>
      </c>
      <c r="U1011" s="17">
        <v>0.65396809138673995</v>
      </c>
      <c r="V1011" s="17">
        <v>0.455020282219671</v>
      </c>
      <c r="W1011" s="17"/>
      <c r="X1011" s="17">
        <v>0.53328862632851404</v>
      </c>
      <c r="Y1011" s="17">
        <v>0.56827187689680603</v>
      </c>
    </row>
    <row r="1012" spans="2:25" x14ac:dyDescent="0.35">
      <c r="B1012" t="s">
        <v>397</v>
      </c>
      <c r="C1012" s="17">
        <v>0.32614436832414301</v>
      </c>
      <c r="D1012" s="17">
        <v>0.33573064372922801</v>
      </c>
      <c r="E1012" s="17">
        <v>0.31668275789625</v>
      </c>
      <c r="F1012" s="17"/>
      <c r="G1012" s="17">
        <v>0.38239502128283598</v>
      </c>
      <c r="H1012" s="17">
        <v>0.37960487642331597</v>
      </c>
      <c r="I1012" s="17">
        <v>0.34595271752729301</v>
      </c>
      <c r="J1012" s="17">
        <v>0.283727295351071</v>
      </c>
      <c r="K1012" s="17">
        <v>0.27136522509275401</v>
      </c>
      <c r="L1012" s="17">
        <v>0.31809645216059901</v>
      </c>
      <c r="M1012" s="17"/>
      <c r="N1012" s="17">
        <v>0.34130332546092501</v>
      </c>
      <c r="O1012" s="17">
        <v>0.29333932737933899</v>
      </c>
      <c r="P1012" s="17">
        <v>0.30074088085784501</v>
      </c>
      <c r="Q1012" s="17">
        <v>0.37945637956790101</v>
      </c>
      <c r="R1012" s="17">
        <v>0.24535483426327401</v>
      </c>
      <c r="S1012" s="17">
        <v>0.37491073212943099</v>
      </c>
      <c r="T1012" s="17">
        <v>0.37687136760559797</v>
      </c>
      <c r="U1012" s="17">
        <v>0.26865688907016699</v>
      </c>
      <c r="V1012" s="17">
        <v>0.37532719972748402</v>
      </c>
      <c r="W1012" s="17"/>
      <c r="X1012" s="17">
        <v>0.35586199444172001</v>
      </c>
      <c r="Y1012" s="17">
        <v>0.30577694372835601</v>
      </c>
    </row>
    <row r="1013" spans="2:25" x14ac:dyDescent="0.35">
      <c r="B1013" t="s">
        <v>398</v>
      </c>
      <c r="C1013" s="17">
        <v>9.7647625214928604E-2</v>
      </c>
      <c r="D1013" s="17">
        <v>0.113790431634034</v>
      </c>
      <c r="E1013" s="17">
        <v>8.2597126755838399E-2</v>
      </c>
      <c r="F1013" s="17"/>
      <c r="G1013" s="17">
        <v>0.12717798905541999</v>
      </c>
      <c r="H1013" s="17">
        <v>0.12961823334577099</v>
      </c>
      <c r="I1013" s="17">
        <v>0.10873918014368</v>
      </c>
      <c r="J1013" s="17">
        <v>7.1693814468607495E-2</v>
      </c>
      <c r="K1013" s="17">
        <v>0.10266421742878699</v>
      </c>
      <c r="L1013" s="17">
        <v>7.2756681830377701E-2</v>
      </c>
      <c r="M1013" s="17"/>
      <c r="N1013" s="17">
        <v>8.2919745414110804E-2</v>
      </c>
      <c r="O1013" s="17">
        <v>0.151312449825837</v>
      </c>
      <c r="P1013" s="17">
        <v>0.10805076344317401</v>
      </c>
      <c r="Q1013" s="17">
        <v>9.8042486102917104E-2</v>
      </c>
      <c r="R1013" s="17">
        <v>7.3626343143288198E-2</v>
      </c>
      <c r="S1013" s="17">
        <v>0.116927492726403</v>
      </c>
      <c r="T1013" s="17">
        <v>0.10843827501098099</v>
      </c>
      <c r="U1013" s="17">
        <v>6.9063319953771393E-2</v>
      </c>
      <c r="V1013" s="17">
        <v>0.12205110407034001</v>
      </c>
      <c r="W1013" s="17"/>
      <c r="X1013" s="17">
        <v>8.9762791529014105E-2</v>
      </c>
      <c r="Y1013" s="17">
        <v>0.10305161525480599</v>
      </c>
    </row>
    <row r="1014" spans="2:25" x14ac:dyDescent="0.35">
      <c r="B1014" t="s">
        <v>399</v>
      </c>
      <c r="C1014" s="17">
        <v>1.42297294507701E-2</v>
      </c>
      <c r="D1014" s="17">
        <v>1.17135674336476E-2</v>
      </c>
      <c r="E1014" s="17">
        <v>1.6642404645357E-2</v>
      </c>
      <c r="F1014" s="17"/>
      <c r="G1014" s="17">
        <v>1.54649837388684E-2</v>
      </c>
      <c r="H1014" s="17">
        <v>1.22078363342863E-2</v>
      </c>
      <c r="I1014" s="17">
        <v>2.9395778276173198E-3</v>
      </c>
      <c r="J1014" s="17">
        <v>2.1714146384079199E-2</v>
      </c>
      <c r="K1014" s="17">
        <v>9.1311073010017594E-3</v>
      </c>
      <c r="L1014" s="17">
        <v>2.0920367911457401E-2</v>
      </c>
      <c r="M1014" s="17"/>
      <c r="N1014" s="17">
        <v>1.8630515412084998E-2</v>
      </c>
      <c r="O1014" s="17">
        <v>1.49066320324194E-2</v>
      </c>
      <c r="P1014" s="17">
        <v>1.31461298043493E-2</v>
      </c>
      <c r="Q1014" s="17">
        <v>1.17710831306304E-2</v>
      </c>
      <c r="R1014" s="17">
        <v>1.36579317750628E-2</v>
      </c>
      <c r="S1014" s="17">
        <v>9.4969382361566792E-3</v>
      </c>
      <c r="T1014" s="17">
        <v>2.1887309954644499E-2</v>
      </c>
      <c r="U1014" s="17">
        <v>3.2354392001745099E-3</v>
      </c>
      <c r="V1014" s="17">
        <v>3.63599962361663E-2</v>
      </c>
      <c r="W1014" s="17"/>
      <c r="X1014" s="17">
        <v>1.3429347320491799E-2</v>
      </c>
      <c r="Y1014" s="17">
        <v>1.4778283451071499E-2</v>
      </c>
    </row>
    <row r="1015" spans="2:25" x14ac:dyDescent="0.35">
      <c r="B1015" t="s">
        <v>400</v>
      </c>
      <c r="C1015" s="17">
        <v>7.9325755472742301E-3</v>
      </c>
      <c r="D1015" s="17">
        <v>9.0496286994623306E-3</v>
      </c>
      <c r="E1015" s="17">
        <v>6.8937733584972898E-3</v>
      </c>
      <c r="F1015" s="17"/>
      <c r="G1015" s="17">
        <v>3.1259374284938199E-3</v>
      </c>
      <c r="H1015" s="17">
        <v>7.7965212884659298E-3</v>
      </c>
      <c r="I1015" s="17">
        <v>7.9717245706032898E-3</v>
      </c>
      <c r="J1015" s="17">
        <v>1.1754713524021101E-2</v>
      </c>
      <c r="K1015" s="17">
        <v>1.31638927862713E-2</v>
      </c>
      <c r="L1015" s="17">
        <v>4.1242376633142301E-3</v>
      </c>
      <c r="M1015" s="17"/>
      <c r="N1015" s="17">
        <v>2.28009375484081E-2</v>
      </c>
      <c r="O1015" s="17">
        <v>1.43386344553831E-2</v>
      </c>
      <c r="P1015" s="17">
        <v>1.06637747378388E-2</v>
      </c>
      <c r="Q1015" s="17">
        <v>1.14644397056474E-2</v>
      </c>
      <c r="R1015" s="17">
        <v>7.3795527534152297E-3</v>
      </c>
      <c r="S1015" s="17">
        <v>1.05943870949727E-2</v>
      </c>
      <c r="T1015" s="17">
        <v>2.2314993203130401E-3</v>
      </c>
      <c r="U1015" s="17">
        <v>5.0762603891468302E-3</v>
      </c>
      <c r="V1015" s="17">
        <v>1.1241417746338999E-2</v>
      </c>
      <c r="W1015" s="17"/>
      <c r="X1015" s="17">
        <v>7.6572403802600397E-3</v>
      </c>
      <c r="Y1015" s="17">
        <v>8.1212806689600191E-3</v>
      </c>
    </row>
    <row r="1016" spans="2:25" x14ac:dyDescent="0.35">
      <c r="C1016" s="17"/>
      <c r="D1016" s="17"/>
      <c r="E1016" s="17"/>
      <c r="F1016" s="17"/>
      <c r="G1016" s="17"/>
      <c r="H1016" s="17"/>
      <c r="I1016" s="17"/>
      <c r="J1016" s="17"/>
      <c r="K1016" s="17"/>
      <c r="L1016" s="17"/>
      <c r="M1016" s="17"/>
      <c r="N1016" s="17"/>
      <c r="O1016" s="17"/>
      <c r="P1016" s="17"/>
      <c r="Q1016" s="17"/>
      <c r="R1016" s="17"/>
      <c r="S1016" s="17"/>
      <c r="T1016" s="17"/>
      <c r="U1016" s="17"/>
      <c r="V1016" s="17"/>
      <c r="W1016" s="17"/>
      <c r="X1016" s="17"/>
      <c r="Y1016" s="17"/>
    </row>
    <row r="1017" spans="2:25" x14ac:dyDescent="0.35">
      <c r="B1017" s="6" t="s">
        <v>406</v>
      </c>
      <c r="C1017" s="17"/>
      <c r="D1017" s="17"/>
      <c r="E1017" s="17"/>
      <c r="F1017" s="17"/>
      <c r="G1017" s="17"/>
      <c r="H1017" s="17"/>
      <c r="I1017" s="17"/>
      <c r="J1017" s="17"/>
      <c r="K1017" s="17"/>
      <c r="L1017" s="17"/>
      <c r="M1017" s="17"/>
      <c r="N1017" s="17"/>
      <c r="O1017" s="17"/>
      <c r="P1017" s="17"/>
      <c r="Q1017" s="17"/>
      <c r="R1017" s="17"/>
      <c r="S1017" s="17"/>
      <c r="T1017" s="17"/>
      <c r="U1017" s="17"/>
      <c r="V1017" s="17"/>
      <c r="W1017" s="17"/>
      <c r="X1017" s="17"/>
      <c r="Y1017" s="17"/>
    </row>
    <row r="1018" spans="2:25" x14ac:dyDescent="0.35">
      <c r="B1018" s="24" t="s">
        <v>538</v>
      </c>
      <c r="C1018" s="17"/>
      <c r="D1018" s="17"/>
      <c r="E1018" s="17"/>
      <c r="F1018" s="17"/>
      <c r="G1018" s="17"/>
      <c r="H1018" s="17"/>
      <c r="I1018" s="17"/>
      <c r="J1018" s="17"/>
      <c r="K1018" s="17"/>
      <c r="L1018" s="17"/>
      <c r="M1018" s="17"/>
      <c r="N1018" s="17"/>
      <c r="O1018" s="17"/>
      <c r="P1018" s="17"/>
      <c r="Q1018" s="17"/>
      <c r="R1018" s="17"/>
      <c r="S1018" s="17"/>
      <c r="T1018" s="17"/>
      <c r="U1018" s="17"/>
      <c r="V1018" s="17"/>
      <c r="W1018" s="17"/>
      <c r="X1018" s="17"/>
      <c r="Y1018" s="17"/>
    </row>
    <row r="1019" spans="2:25" x14ac:dyDescent="0.35">
      <c r="B1019" t="s">
        <v>396</v>
      </c>
      <c r="C1019" s="17">
        <v>0.51518616397546202</v>
      </c>
      <c r="D1019" s="17">
        <v>0.51297281262619399</v>
      </c>
      <c r="E1019" s="17">
        <v>0.51876231909958204</v>
      </c>
      <c r="F1019" s="17"/>
      <c r="G1019" s="17">
        <v>0.44540619032575501</v>
      </c>
      <c r="H1019" s="17">
        <v>0.46099293505417899</v>
      </c>
      <c r="I1019" s="17">
        <v>0.54705151270921604</v>
      </c>
      <c r="J1019" s="17">
        <v>0.526180421191351</v>
      </c>
      <c r="K1019" s="17">
        <v>0.54898932719997995</v>
      </c>
      <c r="L1019" s="17">
        <v>0.55588887662740805</v>
      </c>
      <c r="M1019" s="17"/>
      <c r="N1019" s="17">
        <v>0.56264864831182704</v>
      </c>
      <c r="O1019" s="17">
        <v>0.74694418137464502</v>
      </c>
      <c r="P1019" s="17">
        <v>0.40801120854181699</v>
      </c>
      <c r="Q1019" s="17">
        <v>0.41004741920292898</v>
      </c>
      <c r="R1019" s="17">
        <v>0.46368274252727398</v>
      </c>
      <c r="S1019" s="17">
        <v>0.52787022731521605</v>
      </c>
      <c r="T1019" s="17">
        <v>0.473103634171536</v>
      </c>
      <c r="U1019" s="17">
        <v>0.588837262268464</v>
      </c>
      <c r="V1019" s="17">
        <v>0.66846254452242304</v>
      </c>
      <c r="W1019" s="17"/>
      <c r="X1019" s="17">
        <v>0.53722478880234403</v>
      </c>
      <c r="Y1019" s="17">
        <v>0.499671837390326</v>
      </c>
    </row>
    <row r="1020" spans="2:25" x14ac:dyDescent="0.35">
      <c r="B1020" t="s">
        <v>397</v>
      </c>
      <c r="C1020" s="17">
        <v>0.37158811644658302</v>
      </c>
      <c r="D1020" s="17">
        <v>0.36934489814511001</v>
      </c>
      <c r="E1020" s="17">
        <v>0.37260988064113298</v>
      </c>
      <c r="F1020" s="17"/>
      <c r="G1020" s="17">
        <v>0.430427825052076</v>
      </c>
      <c r="H1020" s="17">
        <v>0.39826579956722402</v>
      </c>
      <c r="I1020" s="17">
        <v>0.36459836779532201</v>
      </c>
      <c r="J1020" s="17">
        <v>0.36534499138520898</v>
      </c>
      <c r="K1020" s="17">
        <v>0.35023234819523202</v>
      </c>
      <c r="L1020" s="17">
        <v>0.33042812211018302</v>
      </c>
      <c r="M1020" s="17"/>
      <c r="N1020" s="17">
        <v>0.36093443098935202</v>
      </c>
      <c r="O1020" s="17">
        <v>0.18626532356015599</v>
      </c>
      <c r="P1020" s="17">
        <v>0.448996367226355</v>
      </c>
      <c r="Q1020" s="17">
        <v>0.37428411144152202</v>
      </c>
      <c r="R1020" s="17">
        <v>0.44873017896302397</v>
      </c>
      <c r="S1020" s="17">
        <v>0.35285238969627097</v>
      </c>
      <c r="T1020" s="17">
        <v>0.42400411298639901</v>
      </c>
      <c r="U1020" s="17">
        <v>0.302279406854219</v>
      </c>
      <c r="V1020" s="17">
        <v>0.271197175091487</v>
      </c>
      <c r="W1020" s="17"/>
      <c r="X1020" s="17">
        <v>0.35955774563865101</v>
      </c>
      <c r="Y1020" s="17">
        <v>0.38005702515212397</v>
      </c>
    </row>
    <row r="1021" spans="2:25" x14ac:dyDescent="0.35">
      <c r="B1021" t="s">
        <v>398</v>
      </c>
      <c r="C1021" s="17">
        <v>9.4508760862239097E-2</v>
      </c>
      <c r="D1021" s="17">
        <v>9.8377012731378194E-2</v>
      </c>
      <c r="E1021" s="17">
        <v>9.0497376726228193E-2</v>
      </c>
      <c r="F1021" s="17"/>
      <c r="G1021" s="17">
        <v>0.108019958332846</v>
      </c>
      <c r="H1021" s="17">
        <v>0.11337704210329</v>
      </c>
      <c r="I1021" s="17">
        <v>7.5813378483060107E-2</v>
      </c>
      <c r="J1021" s="17">
        <v>9.39285762046463E-2</v>
      </c>
      <c r="K1021" s="17">
        <v>8.6719534592891695E-2</v>
      </c>
      <c r="L1021" s="17">
        <v>8.9246549928731697E-2</v>
      </c>
      <c r="M1021" s="17"/>
      <c r="N1021" s="17">
        <v>6.1676298839348699E-2</v>
      </c>
      <c r="O1021" s="17">
        <v>6.6790495065198893E-2</v>
      </c>
      <c r="P1021" s="17">
        <v>0.112371622383781</v>
      </c>
      <c r="Q1021" s="17">
        <v>0.16289983960923099</v>
      </c>
      <c r="R1021" s="17">
        <v>7.5787629365723502E-2</v>
      </c>
      <c r="S1021" s="17">
        <v>0.108577015232226</v>
      </c>
      <c r="T1021" s="17">
        <v>9.3917578600572205E-2</v>
      </c>
      <c r="U1021" s="17">
        <v>8.3685038474294801E-2</v>
      </c>
      <c r="V1021" s="17">
        <v>4.62911948232873E-2</v>
      </c>
      <c r="W1021" s="17"/>
      <c r="X1021" s="17">
        <v>8.50747804257945E-2</v>
      </c>
      <c r="Y1021" s="17">
        <v>0.101149912687205</v>
      </c>
    </row>
    <row r="1022" spans="2:25" x14ac:dyDescent="0.35">
      <c r="B1022" t="s">
        <v>399</v>
      </c>
      <c r="C1022" s="17">
        <v>1.37983587829536E-2</v>
      </c>
      <c r="D1022" s="17">
        <v>1.52927850698177E-2</v>
      </c>
      <c r="E1022" s="17">
        <v>1.21254718857785E-2</v>
      </c>
      <c r="F1022" s="17"/>
      <c r="G1022" s="17">
        <v>1.61460262893235E-2</v>
      </c>
      <c r="H1022" s="17">
        <v>2.7364223275306999E-2</v>
      </c>
      <c r="I1022" s="17">
        <v>8.0084533924062208E-3</v>
      </c>
      <c r="J1022" s="17">
        <v>5.6406766263471598E-3</v>
      </c>
      <c r="K1022" s="17">
        <v>6.8453176828073801E-3</v>
      </c>
      <c r="L1022" s="17">
        <v>1.5745881874600999E-2</v>
      </c>
      <c r="M1022" s="17"/>
      <c r="N1022" s="17">
        <v>0</v>
      </c>
      <c r="O1022" s="17">
        <v>0</v>
      </c>
      <c r="P1022" s="17">
        <v>3.0620801848047999E-2</v>
      </c>
      <c r="Q1022" s="17">
        <v>4.3572376252006398E-2</v>
      </c>
      <c r="R1022" s="17">
        <v>5.4253197608866103E-3</v>
      </c>
      <c r="S1022" s="17">
        <v>7.3885724652274602E-3</v>
      </c>
      <c r="T1022" s="17">
        <v>4.9355844604094899E-3</v>
      </c>
      <c r="U1022" s="17">
        <v>2.0220133631711101E-2</v>
      </c>
      <c r="V1022" s="17">
        <v>9.7296725593222794E-3</v>
      </c>
      <c r="W1022" s="17"/>
      <c r="X1022" s="17">
        <v>1.48606521418224E-2</v>
      </c>
      <c r="Y1022" s="17">
        <v>1.30505459666744E-2</v>
      </c>
    </row>
    <row r="1023" spans="2:25" x14ac:dyDescent="0.35">
      <c r="B1023" t="s">
        <v>400</v>
      </c>
      <c r="C1023" s="17">
        <v>4.9185999327622E-3</v>
      </c>
      <c r="D1023" s="17">
        <v>4.0124914275002001E-3</v>
      </c>
      <c r="E1023" s="17">
        <v>6.0049516472774397E-3</v>
      </c>
      <c r="F1023" s="17"/>
      <c r="G1023" s="17">
        <v>0</v>
      </c>
      <c r="H1023" s="17">
        <v>0</v>
      </c>
      <c r="I1023" s="17">
        <v>4.5282876199958296E-3</v>
      </c>
      <c r="J1023" s="17">
        <v>8.9053345924463897E-3</v>
      </c>
      <c r="K1023" s="17">
        <v>7.2134723290890098E-3</v>
      </c>
      <c r="L1023" s="17">
        <v>8.6905694590760398E-3</v>
      </c>
      <c r="M1023" s="17"/>
      <c r="N1023" s="17">
        <v>1.4740621859471901E-2</v>
      </c>
      <c r="O1023" s="17">
        <v>0</v>
      </c>
      <c r="P1023" s="17">
        <v>0</v>
      </c>
      <c r="Q1023" s="17">
        <v>9.1962534943116105E-3</v>
      </c>
      <c r="R1023" s="17">
        <v>6.3741293830921301E-3</v>
      </c>
      <c r="S1023" s="17">
        <v>3.3117952910595E-3</v>
      </c>
      <c r="T1023" s="17">
        <v>4.0390897810837698E-3</v>
      </c>
      <c r="U1023" s="17">
        <v>4.9781587713115596E-3</v>
      </c>
      <c r="V1023" s="17">
        <v>4.3194130034805598E-3</v>
      </c>
      <c r="W1023" s="17"/>
      <c r="X1023" s="17">
        <v>3.28203299138773E-3</v>
      </c>
      <c r="Y1023" s="17">
        <v>6.0706788036702999E-3</v>
      </c>
    </row>
    <row r="1024" spans="2:25" x14ac:dyDescent="0.35">
      <c r="C1024" s="17"/>
      <c r="D1024" s="17"/>
      <c r="E1024" s="17"/>
      <c r="F1024" s="17"/>
      <c r="G1024" s="17"/>
      <c r="H1024" s="17"/>
      <c r="I1024" s="17"/>
      <c r="J1024" s="17"/>
      <c r="K1024" s="17"/>
      <c r="L1024" s="17"/>
      <c r="M1024" s="17"/>
      <c r="N1024" s="17"/>
      <c r="O1024" s="17"/>
      <c r="P1024" s="17"/>
      <c r="Q1024" s="17"/>
      <c r="R1024" s="17"/>
      <c r="S1024" s="17"/>
      <c r="T1024" s="17"/>
      <c r="U1024" s="17"/>
      <c r="V1024" s="17"/>
      <c r="W1024" s="17"/>
      <c r="X1024" s="17"/>
      <c r="Y1024" s="17"/>
    </row>
    <row r="1025" spans="2:25" x14ac:dyDescent="0.35">
      <c r="B1025" s="6" t="s">
        <v>407</v>
      </c>
      <c r="C1025" s="17"/>
      <c r="D1025" s="17"/>
      <c r="E1025" s="17"/>
      <c r="F1025" s="17"/>
      <c r="G1025" s="17"/>
      <c r="H1025" s="17"/>
      <c r="I1025" s="17"/>
      <c r="J1025" s="17"/>
      <c r="K1025" s="17"/>
      <c r="L1025" s="17"/>
      <c r="M1025" s="17"/>
      <c r="N1025" s="17"/>
      <c r="O1025" s="17"/>
      <c r="P1025" s="17"/>
      <c r="Q1025" s="17"/>
      <c r="R1025" s="17"/>
      <c r="S1025" s="17"/>
      <c r="T1025" s="17"/>
      <c r="U1025" s="17"/>
      <c r="V1025" s="17"/>
      <c r="W1025" s="17"/>
      <c r="X1025" s="17"/>
      <c r="Y1025" s="17"/>
    </row>
    <row r="1026" spans="2:25" x14ac:dyDescent="0.35">
      <c r="B1026" s="24" t="s">
        <v>538</v>
      </c>
      <c r="C1026" s="17"/>
      <c r="D1026" s="17"/>
      <c r="E1026" s="17"/>
      <c r="F1026" s="17"/>
      <c r="G1026" s="17"/>
      <c r="H1026" s="17"/>
      <c r="I1026" s="17"/>
      <c r="J1026" s="17"/>
      <c r="K1026" s="17"/>
      <c r="L1026" s="17"/>
      <c r="M1026" s="17"/>
      <c r="N1026" s="17"/>
      <c r="O1026" s="17"/>
      <c r="P1026" s="17"/>
      <c r="Q1026" s="17"/>
      <c r="R1026" s="17"/>
      <c r="S1026" s="17"/>
      <c r="T1026" s="17"/>
      <c r="U1026" s="17"/>
      <c r="V1026" s="17"/>
      <c r="W1026" s="17"/>
      <c r="X1026" s="17"/>
      <c r="Y1026" s="17"/>
    </row>
    <row r="1027" spans="2:25" x14ac:dyDescent="0.35">
      <c r="B1027" t="s">
        <v>396</v>
      </c>
      <c r="C1027" s="17">
        <v>0.59661256356888503</v>
      </c>
      <c r="D1027" s="17">
        <v>0.58557948304895302</v>
      </c>
      <c r="E1027" s="17">
        <v>0.60521335258819497</v>
      </c>
      <c r="F1027" s="17"/>
      <c r="G1027" s="17">
        <v>0.53337746522753804</v>
      </c>
      <c r="H1027" s="17">
        <v>0.49930378339529202</v>
      </c>
      <c r="I1027" s="17">
        <v>0.58082715574606503</v>
      </c>
      <c r="J1027" s="17">
        <v>0.62935356390708397</v>
      </c>
      <c r="K1027" s="17">
        <v>0.63073165713957402</v>
      </c>
      <c r="L1027" s="17">
        <v>0.63751930060050899</v>
      </c>
      <c r="M1027" s="17"/>
      <c r="N1027" s="17">
        <v>0.64804053761743896</v>
      </c>
      <c r="O1027" s="17">
        <v>0.69105911365760697</v>
      </c>
      <c r="P1027" s="17">
        <v>0.55857301311757002</v>
      </c>
      <c r="Q1027" s="17">
        <v>0.398837042307298</v>
      </c>
      <c r="R1027" s="17">
        <v>0.63921736789495698</v>
      </c>
      <c r="S1027" s="17">
        <v>0.59766794105596199</v>
      </c>
      <c r="T1027" s="17">
        <v>0.46952688955053201</v>
      </c>
      <c r="U1027" s="17">
        <v>0.68114762013821895</v>
      </c>
      <c r="V1027" s="17">
        <v>0.62023931864991599</v>
      </c>
      <c r="W1027" s="17"/>
      <c r="X1027" s="17">
        <v>0.59684075713781404</v>
      </c>
      <c r="Y1027" s="17">
        <v>0.59645022264884895</v>
      </c>
    </row>
    <row r="1028" spans="2:25" x14ac:dyDescent="0.35">
      <c r="B1028" t="s">
        <v>397</v>
      </c>
      <c r="C1028" s="17">
        <v>0.32487281875096902</v>
      </c>
      <c r="D1028" s="17">
        <v>0.33064001499524598</v>
      </c>
      <c r="E1028" s="17">
        <v>0.32118925786678998</v>
      </c>
      <c r="F1028" s="17"/>
      <c r="G1028" s="17">
        <v>0.35578837441897998</v>
      </c>
      <c r="H1028" s="17">
        <v>0.392557450047477</v>
      </c>
      <c r="I1028" s="17">
        <v>0.332589340622722</v>
      </c>
      <c r="J1028" s="17">
        <v>0.29604800699741701</v>
      </c>
      <c r="K1028" s="17">
        <v>0.28821686014834602</v>
      </c>
      <c r="L1028" s="17">
        <v>0.31377686311942599</v>
      </c>
      <c r="M1028" s="17"/>
      <c r="N1028" s="17">
        <v>0.29939849316983103</v>
      </c>
      <c r="O1028" s="17">
        <v>0.27930397917397098</v>
      </c>
      <c r="P1028" s="17">
        <v>0.343611530889672</v>
      </c>
      <c r="Q1028" s="17">
        <v>0.374613466820018</v>
      </c>
      <c r="R1028" s="17">
        <v>0.31323595305930702</v>
      </c>
      <c r="S1028" s="17">
        <v>0.31880702756570001</v>
      </c>
      <c r="T1028" s="17">
        <v>0.42414004846766001</v>
      </c>
      <c r="U1028" s="17">
        <v>0.25207090488190897</v>
      </c>
      <c r="V1028" s="17">
        <v>0.304710769122643</v>
      </c>
      <c r="W1028" s="17"/>
      <c r="X1028" s="17">
        <v>0.32555288907017799</v>
      </c>
      <c r="Y1028" s="17">
        <v>0.32438900475994698</v>
      </c>
    </row>
    <row r="1029" spans="2:25" x14ac:dyDescent="0.35">
      <c r="B1029" t="s">
        <v>398</v>
      </c>
      <c r="C1029" s="17">
        <v>6.5279320468332305E-2</v>
      </c>
      <c r="D1029" s="17">
        <v>6.5869095692125901E-2</v>
      </c>
      <c r="E1029" s="17">
        <v>6.5025310690487295E-2</v>
      </c>
      <c r="F1029" s="17"/>
      <c r="G1029" s="17">
        <v>9.4379838622389606E-2</v>
      </c>
      <c r="H1029" s="17">
        <v>8.1499204459520705E-2</v>
      </c>
      <c r="I1029" s="17">
        <v>7.0209155542709206E-2</v>
      </c>
      <c r="J1029" s="17">
        <v>6.7653314848463306E-2</v>
      </c>
      <c r="K1029" s="17">
        <v>7.2716343655505597E-2</v>
      </c>
      <c r="L1029" s="17">
        <v>3.87025540770152E-2</v>
      </c>
      <c r="M1029" s="17"/>
      <c r="N1029" s="17">
        <v>4.53761060732936E-2</v>
      </c>
      <c r="O1029" s="17">
        <v>2.4060854313542102E-2</v>
      </c>
      <c r="P1029" s="17">
        <v>8.4378912003343007E-2</v>
      </c>
      <c r="Q1029" s="17">
        <v>0.208049432128637</v>
      </c>
      <c r="R1029" s="17">
        <v>3.56475331943511E-2</v>
      </c>
      <c r="S1029" s="17">
        <v>6.2501442566547299E-2</v>
      </c>
      <c r="T1029" s="17">
        <v>8.8855610706697202E-2</v>
      </c>
      <c r="U1029" s="17">
        <v>5.8510106149859097E-2</v>
      </c>
      <c r="V1029" s="17">
        <v>6.6273886244316793E-2</v>
      </c>
      <c r="W1029" s="17"/>
      <c r="X1029" s="17">
        <v>5.8024810385616798E-2</v>
      </c>
      <c r="Y1029" s="17">
        <v>7.0440306585349305E-2</v>
      </c>
    </row>
    <row r="1030" spans="2:25" x14ac:dyDescent="0.35">
      <c r="B1030" t="s">
        <v>399</v>
      </c>
      <c r="C1030" s="17">
        <v>1.00989147949623E-2</v>
      </c>
      <c r="D1030" s="17">
        <v>1.38179242318884E-2</v>
      </c>
      <c r="E1030" s="17">
        <v>6.24133966413256E-3</v>
      </c>
      <c r="F1030" s="17"/>
      <c r="G1030" s="17">
        <v>1.6454321731092101E-2</v>
      </c>
      <c r="H1030" s="17">
        <v>2.0479077270025601E-2</v>
      </c>
      <c r="I1030" s="17">
        <v>8.97618417473868E-3</v>
      </c>
      <c r="J1030" s="17">
        <v>5.9140625072004304E-3</v>
      </c>
      <c r="K1030" s="17">
        <v>5.2314048533190997E-3</v>
      </c>
      <c r="L1030" s="17">
        <v>8.64266243388165E-3</v>
      </c>
      <c r="M1030" s="17"/>
      <c r="N1030" s="17">
        <v>7.1848631394365601E-3</v>
      </c>
      <c r="O1030" s="17">
        <v>5.5760528548795003E-3</v>
      </c>
      <c r="P1030" s="17">
        <v>1.3436543989414599E-2</v>
      </c>
      <c r="Q1030" s="17">
        <v>1.8500058744046699E-2</v>
      </c>
      <c r="R1030" s="17">
        <v>8.0430570114817697E-3</v>
      </c>
      <c r="S1030" s="17">
        <v>9.8140056393245696E-3</v>
      </c>
      <c r="T1030" s="17">
        <v>1.5737508581589399E-2</v>
      </c>
      <c r="U1030" s="17">
        <v>6.3237742216557301E-3</v>
      </c>
      <c r="V1030" s="17">
        <v>8.7760259831246596E-3</v>
      </c>
      <c r="W1030" s="17"/>
      <c r="X1030" s="17">
        <v>1.41877902447779E-2</v>
      </c>
      <c r="Y1030" s="17">
        <v>7.1900168555979098E-3</v>
      </c>
    </row>
    <row r="1031" spans="2:25" x14ac:dyDescent="0.35">
      <c r="B1031" t="s">
        <v>400</v>
      </c>
      <c r="C1031" s="17">
        <v>3.13638241685098E-3</v>
      </c>
      <c r="D1031" s="17">
        <v>4.0934820317864501E-3</v>
      </c>
      <c r="E1031" s="17">
        <v>2.3307391903947101E-3</v>
      </c>
      <c r="F1031" s="17"/>
      <c r="G1031" s="17">
        <v>0</v>
      </c>
      <c r="H1031" s="17">
        <v>6.1604848276848997E-3</v>
      </c>
      <c r="I1031" s="17">
        <v>7.3981639137651297E-3</v>
      </c>
      <c r="J1031" s="17">
        <v>1.0310517398357899E-3</v>
      </c>
      <c r="K1031" s="17">
        <v>3.1037342032549401E-3</v>
      </c>
      <c r="L1031" s="17">
        <v>1.3586197691680001E-3</v>
      </c>
      <c r="M1031" s="17"/>
      <c r="N1031" s="17">
        <v>0</v>
      </c>
      <c r="O1031" s="17">
        <v>0</v>
      </c>
      <c r="P1031" s="17">
        <v>0</v>
      </c>
      <c r="Q1031" s="17">
        <v>0</v>
      </c>
      <c r="R1031" s="17">
        <v>3.85608883990222E-3</v>
      </c>
      <c r="S1031" s="17">
        <v>1.1209583172466699E-2</v>
      </c>
      <c r="T1031" s="17">
        <v>1.73994269352104E-3</v>
      </c>
      <c r="U1031" s="17">
        <v>1.9475946083571301E-3</v>
      </c>
      <c r="V1031" s="17">
        <v>0</v>
      </c>
      <c r="W1031" s="17"/>
      <c r="X1031" s="17">
        <v>5.3937531616134998E-3</v>
      </c>
      <c r="Y1031" s="17">
        <v>1.53044915025627E-3</v>
      </c>
    </row>
    <row r="1032" spans="2:25" x14ac:dyDescent="0.35">
      <c r="C1032" s="17"/>
      <c r="D1032" s="17"/>
      <c r="E1032" s="17"/>
      <c r="F1032" s="17"/>
      <c r="G1032" s="17"/>
      <c r="H1032" s="17"/>
      <c r="I1032" s="17"/>
      <c r="J1032" s="17"/>
      <c r="K1032" s="17"/>
      <c r="L1032" s="17"/>
      <c r="M1032" s="17"/>
      <c r="N1032" s="17"/>
      <c r="O1032" s="17"/>
      <c r="P1032" s="17"/>
      <c r="Q1032" s="17"/>
      <c r="R1032" s="17"/>
      <c r="S1032" s="17"/>
      <c r="T1032" s="17"/>
      <c r="U1032" s="17"/>
      <c r="V1032" s="17"/>
      <c r="W1032" s="17"/>
      <c r="X1032" s="17"/>
      <c r="Y1032" s="17"/>
    </row>
    <row r="1033" spans="2:25" x14ac:dyDescent="0.35">
      <c r="B1033" s="6" t="s">
        <v>408</v>
      </c>
      <c r="C1033" s="17"/>
      <c r="D1033" s="17"/>
      <c r="E1033" s="17"/>
      <c r="F1033" s="17"/>
      <c r="G1033" s="17"/>
      <c r="H1033" s="17"/>
      <c r="I1033" s="17"/>
      <c r="J1033" s="17"/>
      <c r="K1033" s="17"/>
      <c r="L1033" s="17"/>
      <c r="M1033" s="17"/>
      <c r="N1033" s="17"/>
      <c r="O1033" s="17"/>
      <c r="P1033" s="17"/>
      <c r="Q1033" s="17"/>
      <c r="R1033" s="17"/>
      <c r="S1033" s="17"/>
      <c r="T1033" s="17"/>
      <c r="U1033" s="17"/>
      <c r="V1033" s="17"/>
      <c r="W1033" s="17"/>
      <c r="X1033" s="17"/>
      <c r="Y1033" s="17"/>
    </row>
    <row r="1034" spans="2:25" x14ac:dyDescent="0.35">
      <c r="B1034" s="24" t="s">
        <v>538</v>
      </c>
      <c r="C1034" s="17"/>
      <c r="D1034" s="17"/>
      <c r="E1034" s="17"/>
      <c r="F1034" s="17"/>
      <c r="G1034" s="17"/>
      <c r="H1034" s="17"/>
      <c r="I1034" s="17"/>
      <c r="J1034" s="17"/>
      <c r="K1034" s="17"/>
      <c r="L1034" s="17"/>
      <c r="M1034" s="17"/>
      <c r="N1034" s="17"/>
      <c r="O1034" s="17"/>
      <c r="P1034" s="17"/>
      <c r="Q1034" s="17"/>
      <c r="R1034" s="17"/>
      <c r="S1034" s="17"/>
      <c r="T1034" s="17"/>
      <c r="U1034" s="17"/>
      <c r="V1034" s="17"/>
      <c r="W1034" s="17"/>
      <c r="X1034" s="17"/>
      <c r="Y1034" s="17"/>
    </row>
    <row r="1035" spans="2:25" x14ac:dyDescent="0.35">
      <c r="B1035" t="s">
        <v>396</v>
      </c>
      <c r="C1035" s="17">
        <v>0.57746286733693897</v>
      </c>
      <c r="D1035" s="17">
        <v>0.55036879515478798</v>
      </c>
      <c r="E1035" s="17">
        <v>0.608552139309122</v>
      </c>
      <c r="F1035" s="17"/>
      <c r="G1035" s="17">
        <v>0.54574383153012795</v>
      </c>
      <c r="H1035" s="17">
        <v>0.52729219874393096</v>
      </c>
      <c r="I1035" s="17">
        <v>0.58709587375044403</v>
      </c>
      <c r="J1035" s="17">
        <v>0.62071236561684995</v>
      </c>
      <c r="K1035" s="17">
        <v>0.59894850773175301</v>
      </c>
      <c r="L1035" s="17">
        <v>0.57123948261137003</v>
      </c>
      <c r="M1035" s="17"/>
      <c r="N1035" s="17">
        <v>0.54533985340802704</v>
      </c>
      <c r="O1035" s="17">
        <v>0.77242144126289303</v>
      </c>
      <c r="P1035" s="17">
        <v>0.66744401117611596</v>
      </c>
      <c r="Q1035" s="17">
        <v>0.43890582795163202</v>
      </c>
      <c r="R1035" s="17">
        <v>0.57072387077039899</v>
      </c>
      <c r="S1035" s="17">
        <v>0.60288493752815997</v>
      </c>
      <c r="T1035" s="17">
        <v>0.51905201533746503</v>
      </c>
      <c r="U1035" s="17">
        <v>0.53288464737242702</v>
      </c>
      <c r="V1035" s="17">
        <v>0.586893169677836</v>
      </c>
      <c r="W1035" s="17"/>
      <c r="X1035" s="17">
        <v>0.58454281143305797</v>
      </c>
      <c r="Y1035" s="17">
        <v>0.57107191902467702</v>
      </c>
    </row>
    <row r="1036" spans="2:25" x14ac:dyDescent="0.35">
      <c r="B1036" t="s">
        <v>397</v>
      </c>
      <c r="C1036" s="17">
        <v>0.33895096457398999</v>
      </c>
      <c r="D1036" s="17">
        <v>0.34563118243560798</v>
      </c>
      <c r="E1036" s="17">
        <v>0.33136566284468</v>
      </c>
      <c r="F1036" s="17"/>
      <c r="G1036" s="17">
        <v>0.35183508420408199</v>
      </c>
      <c r="H1036" s="17">
        <v>0.37938945304272198</v>
      </c>
      <c r="I1036" s="17">
        <v>0.35376603339460799</v>
      </c>
      <c r="J1036" s="17">
        <v>0.27821485574189903</v>
      </c>
      <c r="K1036" s="17">
        <v>0.30378293618838897</v>
      </c>
      <c r="L1036" s="17">
        <v>0.368451219020552</v>
      </c>
      <c r="M1036" s="17"/>
      <c r="N1036" s="17">
        <v>0.37647125660360198</v>
      </c>
      <c r="O1036" s="17">
        <v>0.227578558737108</v>
      </c>
      <c r="P1036" s="17">
        <v>0.29363292860795298</v>
      </c>
      <c r="Q1036" s="17">
        <v>0.33696102802664502</v>
      </c>
      <c r="R1036" s="17">
        <v>0.353741632652537</v>
      </c>
      <c r="S1036" s="17">
        <v>0.32747348301206702</v>
      </c>
      <c r="T1036" s="17">
        <v>0.41152764297074401</v>
      </c>
      <c r="U1036" s="17">
        <v>0.40784795214375602</v>
      </c>
      <c r="V1036" s="17">
        <v>0.30982450122597699</v>
      </c>
      <c r="W1036" s="17"/>
      <c r="X1036" s="17">
        <v>0.322909397563998</v>
      </c>
      <c r="Y1036" s="17">
        <v>0.353431421512169</v>
      </c>
    </row>
    <row r="1037" spans="2:25" x14ac:dyDescent="0.35">
      <c r="B1037" t="s">
        <v>398</v>
      </c>
      <c r="C1037" s="17">
        <v>6.2846157704211897E-2</v>
      </c>
      <c r="D1037" s="17">
        <v>7.8350808060268895E-2</v>
      </c>
      <c r="E1037" s="17">
        <v>4.4696607697902499E-2</v>
      </c>
      <c r="F1037" s="17"/>
      <c r="G1037" s="17">
        <v>7.6034263696750801E-2</v>
      </c>
      <c r="H1037" s="17">
        <v>7.01776154126936E-2</v>
      </c>
      <c r="I1037" s="17">
        <v>4.9951017693809198E-2</v>
      </c>
      <c r="J1037" s="17">
        <v>7.7918751271123493E-2</v>
      </c>
      <c r="K1037" s="17">
        <v>7.1635465574538801E-2</v>
      </c>
      <c r="L1037" s="17">
        <v>4.1224602096444997E-2</v>
      </c>
      <c r="M1037" s="17"/>
      <c r="N1037" s="17">
        <v>5.5552212623597497E-2</v>
      </c>
      <c r="O1037" s="17">
        <v>0</v>
      </c>
      <c r="P1037" s="17">
        <v>2.9772411585493399E-2</v>
      </c>
      <c r="Q1037" s="17">
        <v>0.16652361769153401</v>
      </c>
      <c r="R1037" s="17">
        <v>5.3172764741503599E-2</v>
      </c>
      <c r="S1037" s="17">
        <v>6.2573997593337094E-2</v>
      </c>
      <c r="T1037" s="17">
        <v>4.7504337396454301E-2</v>
      </c>
      <c r="U1037" s="17">
        <v>5.1277392065499298E-2</v>
      </c>
      <c r="V1037" s="17">
        <v>5.1623015058194499E-2</v>
      </c>
      <c r="W1037" s="17"/>
      <c r="X1037" s="17">
        <v>6.65232114284946E-2</v>
      </c>
      <c r="Y1037" s="17">
        <v>5.9526942188628001E-2</v>
      </c>
    </row>
    <row r="1038" spans="2:25" x14ac:dyDescent="0.35">
      <c r="B1038" t="s">
        <v>399</v>
      </c>
      <c r="C1038" s="17">
        <v>1.57200752098757E-2</v>
      </c>
      <c r="D1038" s="17">
        <v>1.6925303775783301E-2</v>
      </c>
      <c r="E1038" s="17">
        <v>1.44520051708075E-2</v>
      </c>
      <c r="F1038" s="17"/>
      <c r="G1038" s="17">
        <v>2.6386820569038998E-2</v>
      </c>
      <c r="H1038" s="17">
        <v>1.8871712449501098E-2</v>
      </c>
      <c r="I1038" s="17">
        <v>9.1870751611379999E-3</v>
      </c>
      <c r="J1038" s="17">
        <v>1.2921268509588701E-2</v>
      </c>
      <c r="K1038" s="17">
        <v>1.4983190327645699E-2</v>
      </c>
      <c r="L1038" s="17">
        <v>1.54068372291525E-2</v>
      </c>
      <c r="M1038" s="17"/>
      <c r="N1038" s="17">
        <v>2.2636677364773899E-2</v>
      </c>
      <c r="O1038" s="17">
        <v>0</v>
      </c>
      <c r="P1038" s="17">
        <v>4.9963321950168404E-3</v>
      </c>
      <c r="Q1038" s="17">
        <v>4.22185287502733E-2</v>
      </c>
      <c r="R1038" s="17">
        <v>9.8465124035517406E-3</v>
      </c>
      <c r="S1038" s="17">
        <v>7.06758186643621E-3</v>
      </c>
      <c r="T1038" s="17">
        <v>1.4142706308653E-2</v>
      </c>
      <c r="U1038" s="17">
        <v>5.1524230015536797E-3</v>
      </c>
      <c r="V1038" s="17">
        <v>5.1659314037992399E-2</v>
      </c>
      <c r="W1038" s="17"/>
      <c r="X1038" s="17">
        <v>1.9455165740638599E-2</v>
      </c>
      <c r="Y1038" s="17">
        <v>1.23484708300029E-2</v>
      </c>
    </row>
    <row r="1039" spans="2:25" x14ac:dyDescent="0.35">
      <c r="B1039" t="s">
        <v>400</v>
      </c>
      <c r="C1039" s="17">
        <v>5.0199351749834302E-3</v>
      </c>
      <c r="D1039" s="17">
        <v>8.7239105735523095E-3</v>
      </c>
      <c r="E1039" s="17">
        <v>9.3358497748817395E-4</v>
      </c>
      <c r="F1039" s="17"/>
      <c r="G1039" s="17">
        <v>0</v>
      </c>
      <c r="H1039" s="17">
        <v>4.2690203511525603E-3</v>
      </c>
      <c r="I1039" s="17">
        <v>0</v>
      </c>
      <c r="J1039" s="17">
        <v>1.0232758860538999E-2</v>
      </c>
      <c r="K1039" s="17">
        <v>1.06499001776736E-2</v>
      </c>
      <c r="L1039" s="17">
        <v>3.67785904247996E-3</v>
      </c>
      <c r="M1039" s="17"/>
      <c r="N1039" s="17">
        <v>0</v>
      </c>
      <c r="O1039" s="17">
        <v>0</v>
      </c>
      <c r="P1039" s="17">
        <v>4.1543164354207601E-3</v>
      </c>
      <c r="Q1039" s="17">
        <v>1.5390997579916301E-2</v>
      </c>
      <c r="R1039" s="17">
        <v>1.2515219432009001E-2</v>
      </c>
      <c r="S1039" s="17">
        <v>0</v>
      </c>
      <c r="T1039" s="17">
        <v>7.7732979866844999E-3</v>
      </c>
      <c r="U1039" s="17">
        <v>2.8375854167646602E-3</v>
      </c>
      <c r="V1039" s="17">
        <v>0</v>
      </c>
      <c r="W1039" s="17"/>
      <c r="X1039" s="17">
        <v>6.5694138338116097E-3</v>
      </c>
      <c r="Y1039" s="17">
        <v>3.6212464445238299E-3</v>
      </c>
    </row>
    <row r="1040" spans="2:25" x14ac:dyDescent="0.35">
      <c r="C1040" s="17"/>
      <c r="D1040" s="17"/>
      <c r="E1040" s="17"/>
      <c r="F1040" s="17"/>
      <c r="G1040" s="17"/>
      <c r="H1040" s="17"/>
      <c r="I1040" s="17"/>
      <c r="J1040" s="17"/>
      <c r="K1040" s="17"/>
      <c r="L1040" s="17"/>
      <c r="M1040" s="17"/>
      <c r="N1040" s="17"/>
      <c r="O1040" s="17"/>
      <c r="P1040" s="17"/>
      <c r="Q1040" s="17"/>
      <c r="R1040" s="17"/>
      <c r="S1040" s="17"/>
      <c r="T1040" s="17"/>
      <c r="U1040" s="17"/>
      <c r="V1040" s="17"/>
      <c r="W1040" s="17"/>
      <c r="X1040" s="17"/>
      <c r="Y1040" s="17"/>
    </row>
    <row r="1041" spans="2:25" x14ac:dyDescent="0.35">
      <c r="B1041" s="6" t="s">
        <v>409</v>
      </c>
      <c r="C1041" s="17"/>
      <c r="D1041" s="17"/>
      <c r="E1041" s="17"/>
      <c r="F1041" s="17"/>
      <c r="G1041" s="17"/>
      <c r="H1041" s="17"/>
      <c r="I1041" s="17"/>
      <c r="J1041" s="17"/>
      <c r="K1041" s="17"/>
      <c r="L1041" s="17"/>
      <c r="M1041" s="17"/>
      <c r="N1041" s="17"/>
      <c r="O1041" s="17"/>
      <c r="P1041" s="17"/>
      <c r="Q1041" s="17"/>
      <c r="R1041" s="17"/>
      <c r="S1041" s="17"/>
      <c r="T1041" s="17"/>
      <c r="U1041" s="17"/>
      <c r="V1041" s="17"/>
      <c r="W1041" s="17"/>
      <c r="X1041" s="17"/>
      <c r="Y1041" s="17"/>
    </row>
    <row r="1042" spans="2:25" x14ac:dyDescent="0.35">
      <c r="B1042" s="24" t="s">
        <v>538</v>
      </c>
      <c r="C1042" s="17"/>
      <c r="D1042" s="17"/>
      <c r="E1042" s="17"/>
      <c r="F1042" s="17"/>
      <c r="G1042" s="17"/>
      <c r="H1042" s="17"/>
      <c r="I1042" s="17"/>
      <c r="J1042" s="17"/>
      <c r="K1042" s="17"/>
      <c r="L1042" s="17"/>
      <c r="M1042" s="17"/>
      <c r="N1042" s="17"/>
      <c r="O1042" s="17"/>
      <c r="P1042" s="17"/>
      <c r="Q1042" s="17"/>
      <c r="R1042" s="17"/>
      <c r="S1042" s="17"/>
      <c r="T1042" s="17"/>
      <c r="U1042" s="17"/>
      <c r="V1042" s="17"/>
      <c r="W1042" s="17"/>
      <c r="X1042" s="17"/>
      <c r="Y1042" s="17"/>
    </row>
    <row r="1043" spans="2:25" x14ac:dyDescent="0.35">
      <c r="B1043" t="s">
        <v>396</v>
      </c>
      <c r="C1043" s="17">
        <v>0.43743989516495602</v>
      </c>
      <c r="D1043" s="17">
        <v>0.44682307872842097</v>
      </c>
      <c r="E1043" s="17">
        <v>0.428244802976395</v>
      </c>
      <c r="F1043" s="17"/>
      <c r="G1043" s="17">
        <v>0.37678574348351601</v>
      </c>
      <c r="H1043" s="17">
        <v>0.33895283618689898</v>
      </c>
      <c r="I1043" s="17">
        <v>0.497229799782338</v>
      </c>
      <c r="J1043" s="17">
        <v>0.457847043914278</v>
      </c>
      <c r="K1043" s="17">
        <v>0.53618891307430705</v>
      </c>
      <c r="L1043" s="17">
        <v>0.436811017296863</v>
      </c>
      <c r="M1043" s="17"/>
      <c r="N1043" s="17">
        <v>0.54992352147212298</v>
      </c>
      <c r="O1043" s="17">
        <v>0.55151807736490399</v>
      </c>
      <c r="P1043" s="17">
        <v>0.408510297395282</v>
      </c>
      <c r="Q1043" s="17">
        <v>0.42089048282975999</v>
      </c>
      <c r="R1043" s="17">
        <v>0.50990148378071898</v>
      </c>
      <c r="S1043" s="17">
        <v>0.35143558656559998</v>
      </c>
      <c r="T1043" s="17">
        <v>0.50422679563038997</v>
      </c>
      <c r="U1043" s="17">
        <v>0.47506740061194003</v>
      </c>
      <c r="V1043" s="17">
        <v>0.46653904203059599</v>
      </c>
      <c r="W1043" s="17"/>
      <c r="X1043" s="17">
        <v>0.44442026724857298</v>
      </c>
      <c r="Y1043" s="17">
        <v>0.43260667398802399</v>
      </c>
    </row>
    <row r="1044" spans="2:25" x14ac:dyDescent="0.35">
      <c r="B1044" t="s">
        <v>397</v>
      </c>
      <c r="C1044" s="17">
        <v>0.36278465740572302</v>
      </c>
      <c r="D1044" s="17">
        <v>0.34633798000257299</v>
      </c>
      <c r="E1044" s="17">
        <v>0.383076144043696</v>
      </c>
      <c r="F1044" s="17"/>
      <c r="G1044" s="17">
        <v>0.38958944542256702</v>
      </c>
      <c r="H1044" s="17">
        <v>0.39505522841399798</v>
      </c>
      <c r="I1044" s="17">
        <v>0.35681425874442801</v>
      </c>
      <c r="J1044" s="17">
        <v>0.39956931270380103</v>
      </c>
      <c r="K1044" s="17">
        <v>0.351209956387313</v>
      </c>
      <c r="L1044" s="17">
        <v>0.30900059115821299</v>
      </c>
      <c r="M1044" s="17"/>
      <c r="N1044" s="17">
        <v>0.35798632121413498</v>
      </c>
      <c r="O1044" s="17">
        <v>0.16116474038583201</v>
      </c>
      <c r="P1044" s="17">
        <v>0.35813656761302398</v>
      </c>
      <c r="Q1044" s="17">
        <v>0.34271694394793201</v>
      </c>
      <c r="R1044" s="17">
        <v>0.399288263916181</v>
      </c>
      <c r="S1044" s="17">
        <v>0.42008301668866199</v>
      </c>
      <c r="T1044" s="17">
        <v>0.34771550688413599</v>
      </c>
      <c r="U1044" s="17">
        <v>0.34033844399195401</v>
      </c>
      <c r="V1044" s="17">
        <v>0.46132517439953102</v>
      </c>
      <c r="W1044" s="17"/>
      <c r="X1044" s="17">
        <v>0.34128139964377402</v>
      </c>
      <c r="Y1044" s="17">
        <v>0.377673548648644</v>
      </c>
    </row>
    <row r="1045" spans="2:25" x14ac:dyDescent="0.35">
      <c r="B1045" t="s">
        <v>398</v>
      </c>
      <c r="C1045" s="17">
        <v>0.16449516912377399</v>
      </c>
      <c r="D1045" s="17">
        <v>0.177748214544757</v>
      </c>
      <c r="E1045" s="17">
        <v>0.14613646694000401</v>
      </c>
      <c r="F1045" s="17"/>
      <c r="G1045" s="17">
        <v>0.17858685930075599</v>
      </c>
      <c r="H1045" s="17">
        <v>0.223879289720954</v>
      </c>
      <c r="I1045" s="17">
        <v>0.100606600429482</v>
      </c>
      <c r="J1045" s="17">
        <v>0.121954434549936</v>
      </c>
      <c r="K1045" s="17">
        <v>0.10139593589736801</v>
      </c>
      <c r="L1045" s="17">
        <v>0.22079454444930199</v>
      </c>
      <c r="M1045" s="17"/>
      <c r="N1045" s="17">
        <v>0</v>
      </c>
      <c r="O1045" s="17">
        <v>0.287317182249264</v>
      </c>
      <c r="P1045" s="17">
        <v>0.15483170624172701</v>
      </c>
      <c r="Q1045" s="17">
        <v>0.21034138940368699</v>
      </c>
      <c r="R1045" s="17">
        <v>9.0810252303100095E-2</v>
      </c>
      <c r="S1045" s="17">
        <v>0.19661925941476199</v>
      </c>
      <c r="T1045" s="17">
        <v>0.13566203856103701</v>
      </c>
      <c r="U1045" s="17">
        <v>0.12549131124159199</v>
      </c>
      <c r="V1045" s="17">
        <v>7.2135783569873005E-2</v>
      </c>
      <c r="W1045" s="17"/>
      <c r="X1045" s="17">
        <v>0.17374474864860501</v>
      </c>
      <c r="Y1045" s="17">
        <v>0.158090744961048</v>
      </c>
    </row>
    <row r="1046" spans="2:25" x14ac:dyDescent="0.35">
      <c r="B1046" t="s">
        <v>399</v>
      </c>
      <c r="C1046" s="17">
        <v>2.3383148887870499E-2</v>
      </c>
      <c r="D1046" s="17">
        <v>1.5651140147955801E-2</v>
      </c>
      <c r="E1046" s="17">
        <v>3.2378785359855999E-2</v>
      </c>
      <c r="F1046" s="17"/>
      <c r="G1046" s="17">
        <v>5.50379517931609E-2</v>
      </c>
      <c r="H1046" s="17">
        <v>2.5753393126387799E-2</v>
      </c>
      <c r="I1046" s="17">
        <v>2.41971299448074E-2</v>
      </c>
      <c r="J1046" s="17">
        <v>1.1381883710792901E-2</v>
      </c>
      <c r="K1046" s="17">
        <v>1.1205194641011801E-2</v>
      </c>
      <c r="L1046" s="17">
        <v>1.52584510051859E-2</v>
      </c>
      <c r="M1046" s="17"/>
      <c r="N1046" s="17">
        <v>0</v>
      </c>
      <c r="O1046" s="17">
        <v>0</v>
      </c>
      <c r="P1046" s="17">
        <v>5.85152007030618E-2</v>
      </c>
      <c r="Q1046" s="17">
        <v>2.60511838186211E-2</v>
      </c>
      <c r="R1046" s="17">
        <v>0</v>
      </c>
      <c r="S1046" s="17">
        <v>1.1677493770263701E-2</v>
      </c>
      <c r="T1046" s="17">
        <v>1.23956589244357E-2</v>
      </c>
      <c r="U1046" s="17">
        <v>2.5810213652039199E-2</v>
      </c>
      <c r="V1046" s="17">
        <v>0</v>
      </c>
      <c r="W1046" s="17"/>
      <c r="X1046" s="17">
        <v>2.7164375914963401E-2</v>
      </c>
      <c r="Y1046" s="17">
        <v>2.07650210397822E-2</v>
      </c>
    </row>
    <row r="1047" spans="2:25" x14ac:dyDescent="0.35">
      <c r="B1047" t="s">
        <v>400</v>
      </c>
      <c r="C1047" s="17">
        <v>1.1897129417675701E-2</v>
      </c>
      <c r="D1047" s="17">
        <v>1.3439586576292999E-2</v>
      </c>
      <c r="E1047" s="17">
        <v>1.0163800680049E-2</v>
      </c>
      <c r="F1047" s="17"/>
      <c r="G1047" s="17">
        <v>0</v>
      </c>
      <c r="H1047" s="17">
        <v>1.6359252551760899E-2</v>
      </c>
      <c r="I1047" s="17">
        <v>2.1152211098944398E-2</v>
      </c>
      <c r="J1047" s="17">
        <v>9.2473251211911793E-3</v>
      </c>
      <c r="K1047" s="17">
        <v>0</v>
      </c>
      <c r="L1047" s="17">
        <v>1.8135396090435799E-2</v>
      </c>
      <c r="M1047" s="17"/>
      <c r="N1047" s="17">
        <v>9.2090157313742094E-2</v>
      </c>
      <c r="O1047" s="17">
        <v>0</v>
      </c>
      <c r="P1047" s="17">
        <v>2.00062280469048E-2</v>
      </c>
      <c r="Q1047" s="17">
        <v>0</v>
      </c>
      <c r="R1047" s="17">
        <v>0</v>
      </c>
      <c r="S1047" s="17">
        <v>2.0184643560712E-2</v>
      </c>
      <c r="T1047" s="17">
        <v>0</v>
      </c>
      <c r="U1047" s="17">
        <v>3.32926305024746E-2</v>
      </c>
      <c r="V1047" s="17">
        <v>0</v>
      </c>
      <c r="W1047" s="17"/>
      <c r="X1047" s="17">
        <v>1.3389208544083601E-2</v>
      </c>
      <c r="Y1047" s="17">
        <v>1.0864011362502099E-2</v>
      </c>
    </row>
    <row r="1048" spans="2:25" x14ac:dyDescent="0.35">
      <c r="C1048" s="17"/>
      <c r="D1048" s="17"/>
      <c r="E1048" s="17"/>
      <c r="F1048" s="17"/>
      <c r="G1048" s="17"/>
      <c r="H1048" s="17"/>
      <c r="I1048" s="17"/>
      <c r="J1048" s="17"/>
      <c r="K1048" s="17"/>
      <c r="L1048" s="17"/>
      <c r="M1048" s="17"/>
      <c r="N1048" s="17"/>
      <c r="O1048" s="17"/>
      <c r="P1048" s="17"/>
      <c r="Q1048" s="17"/>
      <c r="R1048" s="17"/>
      <c r="S1048" s="17"/>
      <c r="T1048" s="17"/>
      <c r="U1048" s="17"/>
      <c r="V1048" s="17"/>
      <c r="W1048" s="17"/>
      <c r="X1048" s="17"/>
      <c r="Y1048" s="17"/>
    </row>
    <row r="1049" spans="2:25" x14ac:dyDescent="0.35">
      <c r="B1049" s="6" t="s">
        <v>97</v>
      </c>
      <c r="C1049" s="17"/>
      <c r="D1049" s="17"/>
      <c r="E1049" s="17"/>
      <c r="F1049" s="17"/>
      <c r="G1049" s="17"/>
      <c r="H1049" s="17"/>
      <c r="I1049" s="17"/>
      <c r="J1049" s="17"/>
      <c r="K1049" s="17"/>
      <c r="L1049" s="17"/>
      <c r="M1049" s="17"/>
      <c r="N1049" s="17"/>
      <c r="O1049" s="17"/>
      <c r="P1049" s="17"/>
      <c r="Q1049" s="17"/>
      <c r="R1049" s="17"/>
      <c r="S1049" s="17"/>
      <c r="T1049" s="17"/>
      <c r="U1049" s="17"/>
      <c r="V1049" s="17"/>
      <c r="W1049" s="17"/>
      <c r="X1049" s="17"/>
      <c r="Y1049" s="17"/>
    </row>
    <row r="1050" spans="2:25" x14ac:dyDescent="0.35">
      <c r="B1050" s="24" t="s">
        <v>50</v>
      </c>
      <c r="C1050" s="17"/>
      <c r="D1050" s="17"/>
      <c r="E1050" s="17"/>
      <c r="F1050" s="17"/>
      <c r="G1050" s="17"/>
      <c r="H1050" s="17"/>
      <c r="I1050" s="17"/>
      <c r="J1050" s="17"/>
      <c r="K1050" s="17"/>
      <c r="L1050" s="17"/>
      <c r="M1050" s="17"/>
      <c r="N1050" s="17"/>
      <c r="O1050" s="17"/>
      <c r="P1050" s="17"/>
      <c r="Q1050" s="17"/>
      <c r="R1050" s="17"/>
      <c r="S1050" s="17"/>
      <c r="T1050" s="17"/>
      <c r="U1050" s="17"/>
      <c r="V1050" s="17"/>
      <c r="W1050" s="17"/>
      <c r="X1050" s="17"/>
      <c r="Y1050" s="17"/>
    </row>
    <row r="1051" spans="2:25" x14ac:dyDescent="0.35">
      <c r="B1051" t="s">
        <v>410</v>
      </c>
      <c r="C1051" s="17">
        <v>0.52600856120150397</v>
      </c>
      <c r="D1051" s="17">
        <v>0.52289997417751599</v>
      </c>
      <c r="E1051" s="17">
        <v>0.52915049457955499</v>
      </c>
      <c r="F1051" s="17"/>
      <c r="G1051" s="17">
        <v>0.49378450775470201</v>
      </c>
      <c r="H1051" s="17">
        <v>0.52674995370245103</v>
      </c>
      <c r="I1051" s="17">
        <v>0.51719547145947897</v>
      </c>
      <c r="J1051" s="17">
        <v>0.51158110378330801</v>
      </c>
      <c r="K1051" s="17">
        <v>0.53582241620113702</v>
      </c>
      <c r="L1051" s="17">
        <v>0.54661424267895298</v>
      </c>
      <c r="M1051" s="17"/>
      <c r="N1051" s="17">
        <v>0.37207144871109199</v>
      </c>
      <c r="O1051" s="17">
        <v>0.32960626364795498</v>
      </c>
      <c r="P1051" s="17">
        <v>0.35619535458753299</v>
      </c>
      <c r="Q1051" s="17">
        <v>0.72122286510149203</v>
      </c>
      <c r="R1051" s="17">
        <v>0.63453540947924403</v>
      </c>
      <c r="S1051" s="17">
        <v>0.33564732668942898</v>
      </c>
      <c r="T1051" s="17">
        <v>0.56231950446074996</v>
      </c>
      <c r="U1051" s="17">
        <v>0.660816647431681</v>
      </c>
      <c r="V1051" s="17">
        <v>0.418600666217885</v>
      </c>
      <c r="W1051" s="17"/>
      <c r="X1051" s="17">
        <v>0.49579717260730299</v>
      </c>
      <c r="Y1051" s="17">
        <v>0.54272653235051005</v>
      </c>
    </row>
    <row r="1052" spans="2:25" x14ac:dyDescent="0.35">
      <c r="B1052" t="s">
        <v>411</v>
      </c>
      <c r="C1052" s="17">
        <v>0.47399143879849598</v>
      </c>
      <c r="D1052" s="17">
        <v>0.47710002582248401</v>
      </c>
      <c r="E1052" s="17">
        <v>0.47084950542044501</v>
      </c>
      <c r="F1052" s="17"/>
      <c r="G1052" s="17">
        <v>0.50621549224529805</v>
      </c>
      <c r="H1052" s="17">
        <v>0.47325004629754902</v>
      </c>
      <c r="I1052" s="17">
        <v>0.48280452854052103</v>
      </c>
      <c r="J1052" s="17">
        <v>0.48841889621669199</v>
      </c>
      <c r="K1052" s="17">
        <v>0.46417758379886298</v>
      </c>
      <c r="L1052" s="17">
        <v>0.45338575732104702</v>
      </c>
      <c r="M1052" s="17"/>
      <c r="N1052" s="17">
        <v>0.62792855128890801</v>
      </c>
      <c r="O1052" s="17">
        <v>0.67039373635204502</v>
      </c>
      <c r="P1052" s="17">
        <v>0.64380464541246696</v>
      </c>
      <c r="Q1052" s="17">
        <v>0.27877713489850803</v>
      </c>
      <c r="R1052" s="17">
        <v>0.36546459052075603</v>
      </c>
      <c r="S1052" s="17">
        <v>0.66435267331057202</v>
      </c>
      <c r="T1052" s="17">
        <v>0.43768049553924998</v>
      </c>
      <c r="U1052" s="17">
        <v>0.339183352568319</v>
      </c>
      <c r="V1052" s="17">
        <v>0.58139933378211495</v>
      </c>
      <c r="W1052" s="17"/>
      <c r="X1052" s="17">
        <v>0.50420282739269695</v>
      </c>
      <c r="Y1052" s="17">
        <v>0.45727346764949001</v>
      </c>
    </row>
    <row r="1053" spans="2:25" x14ac:dyDescent="0.35">
      <c r="C1053" s="17"/>
      <c r="D1053" s="17"/>
      <c r="E1053" s="17"/>
      <c r="F1053" s="17"/>
      <c r="G1053" s="17"/>
      <c r="H1053" s="17"/>
      <c r="I1053" s="17"/>
      <c r="J1053" s="17"/>
      <c r="K1053" s="17"/>
      <c r="L1053" s="17"/>
      <c r="M1053" s="17"/>
      <c r="N1053" s="17"/>
      <c r="O1053" s="17"/>
      <c r="P1053" s="17"/>
      <c r="Q1053" s="17"/>
      <c r="R1053" s="17"/>
      <c r="S1053" s="17"/>
      <c r="T1053" s="17"/>
      <c r="U1053" s="17"/>
      <c r="V1053" s="17"/>
      <c r="W1053" s="17"/>
      <c r="X1053" s="17"/>
      <c r="Y1053" s="17"/>
    </row>
    <row r="1054" spans="2:25" x14ac:dyDescent="0.35">
      <c r="B1054" s="6" t="s">
        <v>417</v>
      </c>
      <c r="C1054" s="17"/>
      <c r="D1054" s="17"/>
      <c r="E1054" s="17"/>
      <c r="F1054" s="17"/>
      <c r="G1054" s="17"/>
      <c r="H1054" s="17"/>
      <c r="I1054" s="17"/>
      <c r="J1054" s="17"/>
      <c r="K1054" s="17"/>
      <c r="L1054" s="17"/>
      <c r="M1054" s="17"/>
      <c r="N1054" s="17"/>
      <c r="O1054" s="17"/>
      <c r="P1054" s="17"/>
      <c r="Q1054" s="17"/>
      <c r="R1054" s="17"/>
      <c r="S1054" s="17"/>
      <c r="T1054" s="17"/>
      <c r="U1054" s="17"/>
      <c r="V1054" s="17"/>
      <c r="W1054" s="17"/>
      <c r="X1054" s="17"/>
      <c r="Y1054" s="17"/>
    </row>
    <row r="1055" spans="2:25" x14ac:dyDescent="0.35">
      <c r="B1055" s="24" t="s">
        <v>50</v>
      </c>
      <c r="C1055" s="17"/>
      <c r="D1055" s="17"/>
      <c r="E1055" s="17"/>
      <c r="F1055" s="17"/>
      <c r="G1055" s="17"/>
      <c r="H1055" s="17"/>
      <c r="I1055" s="17"/>
      <c r="J1055" s="17"/>
      <c r="K1055" s="17"/>
      <c r="L1055" s="17"/>
      <c r="M1055" s="17"/>
      <c r="N1055" s="17"/>
      <c r="O1055" s="17"/>
      <c r="P1055" s="17"/>
      <c r="Q1055" s="17"/>
      <c r="R1055" s="17"/>
      <c r="S1055" s="17"/>
      <c r="T1055" s="17"/>
      <c r="U1055" s="17"/>
      <c r="V1055" s="17"/>
      <c r="W1055" s="17"/>
      <c r="X1055" s="17"/>
      <c r="Y1055" s="17"/>
    </row>
    <row r="1056" spans="2:25" x14ac:dyDescent="0.35">
      <c r="B1056" t="s">
        <v>412</v>
      </c>
      <c r="C1056" s="17">
        <v>0.14809490130146499</v>
      </c>
      <c r="D1056" s="17">
        <v>0.14625640828411501</v>
      </c>
      <c r="E1056" s="17">
        <v>0.148937037823795</v>
      </c>
      <c r="F1056" s="17"/>
      <c r="G1056" s="17">
        <v>0.14163455732723099</v>
      </c>
      <c r="H1056" s="17">
        <v>0.15673651614034401</v>
      </c>
      <c r="I1056" s="17">
        <v>0.16776548567677699</v>
      </c>
      <c r="J1056" s="17">
        <v>0.170320037915239</v>
      </c>
      <c r="K1056" s="17">
        <v>0.14087096444560199</v>
      </c>
      <c r="L1056" s="17">
        <v>0.122333052674267</v>
      </c>
      <c r="M1056" s="17"/>
      <c r="N1056" s="17">
        <v>0.17156871684175201</v>
      </c>
      <c r="O1056" s="17">
        <v>7.0984199872979006E-2</v>
      </c>
      <c r="P1056" s="17">
        <v>0.155862647968356</v>
      </c>
      <c r="Q1056" s="17">
        <v>3.6835164017866302E-2</v>
      </c>
      <c r="R1056" s="17">
        <v>0.40637984329396198</v>
      </c>
      <c r="S1056" s="17">
        <v>0.116273051455201</v>
      </c>
      <c r="T1056" s="17">
        <v>5.9923755993189998E-2</v>
      </c>
      <c r="U1056" s="17">
        <v>0.11912239291417499</v>
      </c>
      <c r="V1056" s="17">
        <v>0.159418923740204</v>
      </c>
      <c r="W1056" s="17"/>
      <c r="X1056" s="17">
        <v>0.14946591806943499</v>
      </c>
      <c r="Y1056" s="17">
        <v>0.147336226515622</v>
      </c>
    </row>
    <row r="1057" spans="2:25" x14ac:dyDescent="0.35">
      <c r="B1057" t="s">
        <v>413</v>
      </c>
      <c r="C1057" s="17">
        <v>0.39874884176529601</v>
      </c>
      <c r="D1057" s="17">
        <v>0.40704933693359302</v>
      </c>
      <c r="E1057" s="17">
        <v>0.391085832756153</v>
      </c>
      <c r="F1057" s="17"/>
      <c r="G1057" s="17">
        <v>0.45641010531944298</v>
      </c>
      <c r="H1057" s="17">
        <v>0.39607536909789198</v>
      </c>
      <c r="I1057" s="17">
        <v>0.42184430478139101</v>
      </c>
      <c r="J1057" s="17">
        <v>0.40104256808526501</v>
      </c>
      <c r="K1057" s="17">
        <v>0.38124301645770697</v>
      </c>
      <c r="L1057" s="17">
        <v>0.37401365809258902</v>
      </c>
      <c r="M1057" s="17"/>
      <c r="N1057" s="17">
        <v>0.42263358535414602</v>
      </c>
      <c r="O1057" s="17">
        <v>0.58573623477657699</v>
      </c>
      <c r="P1057" s="17">
        <v>0.48776860710562803</v>
      </c>
      <c r="Q1057" s="17">
        <v>0.230788812917156</v>
      </c>
      <c r="R1057" s="17">
        <v>0.39352520368430099</v>
      </c>
      <c r="S1057" s="17">
        <v>0.46315864716730099</v>
      </c>
      <c r="T1057" s="17">
        <v>0.38015627313187</v>
      </c>
      <c r="U1057" s="17">
        <v>0.36689017344457397</v>
      </c>
      <c r="V1057" s="17">
        <v>0.46697301497883598</v>
      </c>
      <c r="W1057" s="17"/>
      <c r="X1057" s="17">
        <v>0.42817890635004202</v>
      </c>
      <c r="Y1057" s="17">
        <v>0.38246322916900399</v>
      </c>
    </row>
    <row r="1058" spans="2:25" x14ac:dyDescent="0.35">
      <c r="B1058" t="s">
        <v>414</v>
      </c>
      <c r="C1058" s="17">
        <v>0.25757629057457698</v>
      </c>
      <c r="D1058" s="17">
        <v>0.24522122758581399</v>
      </c>
      <c r="E1058" s="17">
        <v>0.26992361112006302</v>
      </c>
      <c r="F1058" s="17"/>
      <c r="G1058" s="17">
        <v>0.27040784382926197</v>
      </c>
      <c r="H1058" s="17">
        <v>0.25656122043169899</v>
      </c>
      <c r="I1058" s="17">
        <v>0.23356616894731699</v>
      </c>
      <c r="J1058" s="17">
        <v>0.24575755088520501</v>
      </c>
      <c r="K1058" s="17">
        <v>0.268392420708783</v>
      </c>
      <c r="L1058" s="17">
        <v>0.26976027028184202</v>
      </c>
      <c r="M1058" s="17"/>
      <c r="N1058" s="17">
        <v>0.20962071816785199</v>
      </c>
      <c r="O1058" s="17">
        <v>0.15921504458701799</v>
      </c>
      <c r="P1058" s="17">
        <v>0.22209947690637399</v>
      </c>
      <c r="Q1058" s="17">
        <v>0.295860606886377</v>
      </c>
      <c r="R1058" s="17">
        <v>0.13362437618947301</v>
      </c>
      <c r="S1058" s="17">
        <v>0.25467260761104299</v>
      </c>
      <c r="T1058" s="17">
        <v>0.41980867282639101</v>
      </c>
      <c r="U1058" s="17">
        <v>0.25891326345723398</v>
      </c>
      <c r="V1058" s="17">
        <v>0.232211298247778</v>
      </c>
      <c r="W1058" s="17"/>
      <c r="X1058" s="17">
        <v>0.23776437186598201</v>
      </c>
      <c r="Y1058" s="17">
        <v>0.26853954320177698</v>
      </c>
    </row>
    <row r="1059" spans="2:25" x14ac:dyDescent="0.35">
      <c r="B1059" t="s">
        <v>415</v>
      </c>
      <c r="C1059" s="17">
        <v>0.107526193664643</v>
      </c>
      <c r="D1059" s="17">
        <v>0.12359022691379599</v>
      </c>
      <c r="E1059" s="17">
        <v>9.2552585919157604E-2</v>
      </c>
      <c r="F1059" s="17"/>
      <c r="G1059" s="17">
        <v>8.3065309328282599E-2</v>
      </c>
      <c r="H1059" s="17">
        <v>0.123025305881514</v>
      </c>
      <c r="I1059" s="17">
        <v>0.101254452882972</v>
      </c>
      <c r="J1059" s="17">
        <v>9.0160144715840301E-2</v>
      </c>
      <c r="K1059" s="17">
        <v>0.11135228738282001</v>
      </c>
      <c r="L1059" s="17">
        <v>0.120825677461364</v>
      </c>
      <c r="M1059" s="17"/>
      <c r="N1059" s="17">
        <v>0.11418937497597</v>
      </c>
      <c r="O1059" s="17">
        <v>5.9963283067843501E-2</v>
      </c>
      <c r="P1059" s="17">
        <v>5.9745520375743801E-2</v>
      </c>
      <c r="Q1059" s="17">
        <v>0.268896300429253</v>
      </c>
      <c r="R1059" s="17">
        <v>3.6888049696056802E-2</v>
      </c>
      <c r="S1059" s="17">
        <v>7.6891847062840302E-2</v>
      </c>
      <c r="T1059" s="17">
        <v>6.4349696404866999E-2</v>
      </c>
      <c r="U1059" s="17">
        <v>0.15261619192092701</v>
      </c>
      <c r="V1059" s="17">
        <v>9.3702849226628804E-2</v>
      </c>
      <c r="W1059" s="17"/>
      <c r="X1059" s="17">
        <v>0.12047155374594901</v>
      </c>
      <c r="Y1059" s="17">
        <v>0.100362664729919</v>
      </c>
    </row>
    <row r="1060" spans="2:25" x14ac:dyDescent="0.35">
      <c r="B1060" t="s">
        <v>416</v>
      </c>
      <c r="C1060" s="17">
        <v>3.9648852372153501E-2</v>
      </c>
      <c r="D1060" s="17">
        <v>4.5416059287062299E-2</v>
      </c>
      <c r="E1060" s="17">
        <v>3.3898112598643303E-2</v>
      </c>
      <c r="F1060" s="17"/>
      <c r="G1060" s="17">
        <v>2.40619823114838E-2</v>
      </c>
      <c r="H1060" s="17">
        <v>4.3760682958397697E-2</v>
      </c>
      <c r="I1060" s="17">
        <v>3.7360696612028003E-2</v>
      </c>
      <c r="J1060" s="17">
        <v>4.4300656734165798E-2</v>
      </c>
      <c r="K1060" s="17">
        <v>4.1052922935986197E-2</v>
      </c>
      <c r="L1060" s="17">
        <v>4.03800645790987E-2</v>
      </c>
      <c r="M1060" s="17"/>
      <c r="N1060" s="17">
        <v>4.9459744886922799E-2</v>
      </c>
      <c r="O1060" s="17">
        <v>2.70599454138572E-2</v>
      </c>
      <c r="P1060" s="17">
        <v>1.8668704026556002E-2</v>
      </c>
      <c r="Q1060" s="17">
        <v>0.10039011603188699</v>
      </c>
      <c r="R1060" s="17">
        <v>1.15089574582894E-2</v>
      </c>
      <c r="S1060" s="17">
        <v>2.5424417926514901E-2</v>
      </c>
      <c r="T1060" s="17">
        <v>3.2046822535716203E-2</v>
      </c>
      <c r="U1060" s="17">
        <v>5.9460086334320997E-2</v>
      </c>
      <c r="V1060" s="17">
        <v>1.7470891119134999E-2</v>
      </c>
      <c r="W1060" s="17"/>
      <c r="X1060" s="17">
        <v>3.8653570117364498E-2</v>
      </c>
      <c r="Y1060" s="17">
        <v>4.0199608255776599E-2</v>
      </c>
    </row>
    <row r="1061" spans="2:25" x14ac:dyDescent="0.35">
      <c r="B1061" t="s">
        <v>224</v>
      </c>
      <c r="C1061" s="17">
        <v>4.8404920321866003E-2</v>
      </c>
      <c r="D1061" s="17">
        <v>3.24667409956199E-2</v>
      </c>
      <c r="E1061" s="17">
        <v>6.3602819782187403E-2</v>
      </c>
      <c r="F1061" s="17"/>
      <c r="G1061" s="17">
        <v>2.4420201884297599E-2</v>
      </c>
      <c r="H1061" s="17">
        <v>2.3840905490154E-2</v>
      </c>
      <c r="I1061" s="17">
        <v>3.8208891099515398E-2</v>
      </c>
      <c r="J1061" s="17">
        <v>4.8419041664284401E-2</v>
      </c>
      <c r="K1061" s="17">
        <v>5.7088388069102498E-2</v>
      </c>
      <c r="L1061" s="17">
        <v>7.2687276910838705E-2</v>
      </c>
      <c r="M1061" s="17"/>
      <c r="N1061" s="17">
        <v>3.2527859773356399E-2</v>
      </c>
      <c r="O1061" s="17">
        <v>9.7041292281725505E-2</v>
      </c>
      <c r="P1061" s="17">
        <v>5.5855043617341997E-2</v>
      </c>
      <c r="Q1061" s="17">
        <v>6.7228999717460297E-2</v>
      </c>
      <c r="R1061" s="17">
        <v>1.80735696779179E-2</v>
      </c>
      <c r="S1061" s="17">
        <v>6.3579428777098795E-2</v>
      </c>
      <c r="T1061" s="17">
        <v>4.3714779107965403E-2</v>
      </c>
      <c r="U1061" s="17">
        <v>4.2997891928769801E-2</v>
      </c>
      <c r="V1061" s="17">
        <v>3.0223022687417899E-2</v>
      </c>
      <c r="W1061" s="17"/>
      <c r="X1061" s="17">
        <v>2.5465679851227298E-2</v>
      </c>
      <c r="Y1061" s="17">
        <v>6.1098728127901999E-2</v>
      </c>
    </row>
    <row r="1062" spans="2:25" x14ac:dyDescent="0.35">
      <c r="C1062" s="17"/>
      <c r="D1062" s="17"/>
      <c r="E1062" s="17"/>
      <c r="F1062" s="17"/>
      <c r="G1062" s="17"/>
      <c r="H1062" s="17"/>
      <c r="I1062" s="17"/>
      <c r="J1062" s="17"/>
      <c r="K1062" s="17"/>
      <c r="L1062" s="17"/>
      <c r="M1062" s="17"/>
      <c r="N1062" s="17"/>
      <c r="O1062" s="17"/>
      <c r="P1062" s="17"/>
      <c r="Q1062" s="17"/>
      <c r="R1062" s="17"/>
      <c r="S1062" s="17"/>
      <c r="T1062" s="17"/>
      <c r="U1062" s="17"/>
      <c r="V1062" s="17"/>
      <c r="W1062" s="17"/>
      <c r="X1062" s="17"/>
      <c r="Y1062" s="17"/>
    </row>
    <row r="1063" spans="2:25" x14ac:dyDescent="0.35">
      <c r="B1063" s="6" t="s">
        <v>436</v>
      </c>
      <c r="C1063" s="17"/>
      <c r="D1063" s="17"/>
      <c r="E1063" s="17"/>
      <c r="F1063" s="17"/>
      <c r="G1063" s="17"/>
      <c r="H1063" s="17"/>
      <c r="I1063" s="17"/>
      <c r="J1063" s="17"/>
      <c r="K1063" s="17"/>
      <c r="L1063" s="17"/>
      <c r="M1063" s="17"/>
      <c r="N1063" s="17"/>
      <c r="O1063" s="17"/>
      <c r="P1063" s="17"/>
      <c r="Q1063" s="17"/>
      <c r="R1063" s="17"/>
      <c r="S1063" s="17"/>
      <c r="T1063" s="17"/>
      <c r="U1063" s="17"/>
      <c r="V1063" s="17"/>
      <c r="W1063" s="17"/>
      <c r="X1063" s="17"/>
      <c r="Y1063" s="17"/>
    </row>
    <row r="1064" spans="2:25" x14ac:dyDescent="0.35">
      <c r="B1064" s="24" t="s">
        <v>50</v>
      </c>
      <c r="C1064" s="17"/>
      <c r="D1064" s="17"/>
      <c r="E1064" s="17"/>
      <c r="F1064" s="17"/>
      <c r="G1064" s="17"/>
      <c r="H1064" s="17"/>
      <c r="I1064" s="17"/>
      <c r="J1064" s="17"/>
      <c r="K1064" s="17"/>
      <c r="L1064" s="17"/>
      <c r="M1064" s="17"/>
      <c r="N1064" s="17"/>
      <c r="O1064" s="17"/>
      <c r="P1064" s="17"/>
      <c r="Q1064" s="17"/>
      <c r="R1064" s="17"/>
      <c r="S1064" s="17"/>
      <c r="T1064" s="17"/>
      <c r="U1064" s="17"/>
      <c r="V1064" s="17"/>
      <c r="W1064" s="17"/>
      <c r="X1064" s="17"/>
      <c r="Y1064" s="17"/>
    </row>
    <row r="1065" spans="2:25" x14ac:dyDescent="0.35">
      <c r="B1065" t="s">
        <v>431</v>
      </c>
      <c r="C1065" s="17">
        <v>0.19113721168786499</v>
      </c>
      <c r="D1065" s="17">
        <v>0.24123464767096101</v>
      </c>
      <c r="E1065" s="17">
        <v>0.14389244581802901</v>
      </c>
      <c r="F1065" s="17"/>
      <c r="G1065" s="17">
        <v>0.35832818650244702</v>
      </c>
      <c r="H1065" s="17">
        <v>0.30446290914850499</v>
      </c>
      <c r="I1065" s="17">
        <v>0.219043198035348</v>
      </c>
      <c r="J1065" s="17">
        <v>0.17102277591923001</v>
      </c>
      <c r="K1065" s="17">
        <v>0.123878470784726</v>
      </c>
      <c r="L1065" s="17">
        <v>0.101946341109764</v>
      </c>
      <c r="M1065" s="17"/>
      <c r="N1065" s="17">
        <v>0.23842646451346999</v>
      </c>
      <c r="O1065" s="17">
        <v>0.170157359218087</v>
      </c>
      <c r="P1065" s="17">
        <v>0.238061457704733</v>
      </c>
      <c r="Q1065" s="17">
        <v>0.16351649494322201</v>
      </c>
      <c r="R1065" s="17">
        <v>0.11515944341090099</v>
      </c>
      <c r="S1065" s="17">
        <v>0.20395576107056401</v>
      </c>
      <c r="T1065" s="17">
        <v>0.21448514785161199</v>
      </c>
      <c r="U1065" s="17">
        <v>0.19125113242707201</v>
      </c>
      <c r="V1065" s="17">
        <v>0.22754685328771601</v>
      </c>
      <c r="W1065" s="17"/>
      <c r="X1065" s="17">
        <v>0.25978901379890601</v>
      </c>
      <c r="Y1065" s="17">
        <v>0.15314760245686301</v>
      </c>
    </row>
    <row r="1066" spans="2:25" x14ac:dyDescent="0.35">
      <c r="B1066" t="s">
        <v>432</v>
      </c>
      <c r="C1066" s="17">
        <v>0.46839649103309</v>
      </c>
      <c r="D1066" s="17">
        <v>0.503913911452602</v>
      </c>
      <c r="E1066" s="17">
        <v>0.43479213545789702</v>
      </c>
      <c r="F1066" s="17"/>
      <c r="G1066" s="17">
        <v>0.482066641835595</v>
      </c>
      <c r="H1066" s="17">
        <v>0.47468352244635298</v>
      </c>
      <c r="I1066" s="17">
        <v>0.50646708637212401</v>
      </c>
      <c r="J1066" s="17">
        <v>0.47644492866571803</v>
      </c>
      <c r="K1066" s="17">
        <v>0.45793367557636599</v>
      </c>
      <c r="L1066" s="17">
        <v>0.43655381135001697</v>
      </c>
      <c r="M1066" s="17"/>
      <c r="N1066" s="17">
        <v>0.46304565445350399</v>
      </c>
      <c r="O1066" s="17">
        <v>0.45286236881686898</v>
      </c>
      <c r="P1066" s="17">
        <v>0.49629654633075398</v>
      </c>
      <c r="Q1066" s="17">
        <v>0.452023003815619</v>
      </c>
      <c r="R1066" s="17">
        <v>0.392380437318404</v>
      </c>
      <c r="S1066" s="17">
        <v>0.49542492326940701</v>
      </c>
      <c r="T1066" s="17">
        <v>0.50993082468603801</v>
      </c>
      <c r="U1066" s="17">
        <v>0.45756194526524502</v>
      </c>
      <c r="V1066" s="17">
        <v>0.49529474608042701</v>
      </c>
      <c r="W1066" s="17"/>
      <c r="X1066" s="17">
        <v>0.514066668208915</v>
      </c>
      <c r="Y1066" s="17">
        <v>0.44312414375203801</v>
      </c>
    </row>
    <row r="1067" spans="2:25" x14ac:dyDescent="0.35">
      <c r="B1067" t="s">
        <v>433</v>
      </c>
      <c r="C1067" s="17">
        <v>0.31317577378713102</v>
      </c>
      <c r="D1067" s="17">
        <v>0.240848180098688</v>
      </c>
      <c r="E1067" s="17">
        <v>0.38140705762108501</v>
      </c>
      <c r="F1067" s="17"/>
      <c r="G1067" s="17">
        <v>0.141212831053529</v>
      </c>
      <c r="H1067" s="17">
        <v>0.202076067334061</v>
      </c>
      <c r="I1067" s="17">
        <v>0.25150175159356603</v>
      </c>
      <c r="J1067" s="17">
        <v>0.32657134803707399</v>
      </c>
      <c r="K1067" s="17">
        <v>0.39449398908835598</v>
      </c>
      <c r="L1067" s="17">
        <v>0.41982246913382198</v>
      </c>
      <c r="M1067" s="17"/>
      <c r="N1067" s="17">
        <v>0.277645118314642</v>
      </c>
      <c r="O1067" s="17">
        <v>0.35378292610977502</v>
      </c>
      <c r="P1067" s="17">
        <v>0.23931927176395101</v>
      </c>
      <c r="Q1067" s="17">
        <v>0.35918824803994798</v>
      </c>
      <c r="R1067" s="17">
        <v>0.47997013312787201</v>
      </c>
      <c r="S1067" s="17">
        <v>0.280349990364757</v>
      </c>
      <c r="T1067" s="17">
        <v>0.242677206858182</v>
      </c>
      <c r="U1067" s="17">
        <v>0.29652904524748602</v>
      </c>
      <c r="V1067" s="17">
        <v>0.265044173695548</v>
      </c>
      <c r="W1067" s="17"/>
      <c r="X1067" s="17">
        <v>0.20967602025939</v>
      </c>
      <c r="Y1067" s="17">
        <v>0.37044907282834699</v>
      </c>
    </row>
    <row r="1068" spans="2:25" x14ac:dyDescent="0.35">
      <c r="B1068" t="s">
        <v>434</v>
      </c>
      <c r="C1068" s="17">
        <v>2.7290523491913701E-2</v>
      </c>
      <c r="D1068" s="17">
        <v>1.4003260777748799E-2</v>
      </c>
      <c r="E1068" s="17">
        <v>3.99083611029886E-2</v>
      </c>
      <c r="F1068" s="17"/>
      <c r="G1068" s="17">
        <v>1.8392340608429099E-2</v>
      </c>
      <c r="H1068" s="17">
        <v>1.8777501071080099E-2</v>
      </c>
      <c r="I1068" s="17">
        <v>2.29879639989625E-2</v>
      </c>
      <c r="J1068" s="17">
        <v>2.5960947377977699E-2</v>
      </c>
      <c r="K1068" s="17">
        <v>2.3693864550551801E-2</v>
      </c>
      <c r="L1068" s="17">
        <v>4.1677378406396098E-2</v>
      </c>
      <c r="M1068" s="17"/>
      <c r="N1068" s="17">
        <v>2.0882762718383598E-2</v>
      </c>
      <c r="O1068" s="17">
        <v>2.3197345855269402E-2</v>
      </c>
      <c r="P1068" s="17">
        <v>2.63227242005621E-2</v>
      </c>
      <c r="Q1068" s="17">
        <v>2.5272253201211101E-2</v>
      </c>
      <c r="R1068" s="17">
        <v>1.2489986142822899E-2</v>
      </c>
      <c r="S1068" s="17">
        <v>2.0269325295271898E-2</v>
      </c>
      <c r="T1068" s="17">
        <v>3.2906820604167601E-2</v>
      </c>
      <c r="U1068" s="17">
        <v>5.4657877060197098E-2</v>
      </c>
      <c r="V1068" s="17">
        <v>1.21142269363088E-2</v>
      </c>
      <c r="W1068" s="17"/>
      <c r="X1068" s="17">
        <v>1.6468297732789499E-2</v>
      </c>
      <c r="Y1068" s="17">
        <v>3.32791809627523E-2</v>
      </c>
    </row>
    <row r="1069" spans="2:25" x14ac:dyDescent="0.35">
      <c r="C1069" s="17"/>
      <c r="D1069" s="17"/>
      <c r="E1069" s="17"/>
      <c r="F1069" s="17"/>
      <c r="G1069" s="17"/>
      <c r="H1069" s="17"/>
      <c r="I1069" s="17"/>
      <c r="J1069" s="17"/>
      <c r="K1069" s="17"/>
      <c r="L1069" s="17"/>
      <c r="M1069" s="17"/>
      <c r="N1069" s="17"/>
      <c r="O1069" s="17"/>
      <c r="P1069" s="17"/>
      <c r="Q1069" s="17"/>
      <c r="R1069" s="17"/>
      <c r="S1069" s="17"/>
      <c r="T1069" s="17"/>
      <c r="U1069" s="17"/>
      <c r="V1069" s="17"/>
      <c r="W1069" s="17"/>
      <c r="X1069" s="17"/>
      <c r="Y1069" s="17"/>
    </row>
    <row r="1070" spans="2:25" x14ac:dyDescent="0.35">
      <c r="B1070" s="6" t="s">
        <v>437</v>
      </c>
      <c r="C1070" s="17"/>
      <c r="D1070" s="17"/>
      <c r="E1070" s="17"/>
      <c r="F1070" s="17"/>
      <c r="G1070" s="17"/>
      <c r="H1070" s="17"/>
      <c r="I1070" s="17"/>
      <c r="J1070" s="17"/>
      <c r="K1070" s="17"/>
      <c r="L1070" s="17"/>
      <c r="M1070" s="17"/>
      <c r="N1070" s="17"/>
      <c r="O1070" s="17"/>
      <c r="P1070" s="17"/>
      <c r="Q1070" s="17"/>
      <c r="R1070" s="17"/>
      <c r="S1070" s="17"/>
      <c r="T1070" s="17"/>
      <c r="U1070" s="17"/>
      <c r="V1070" s="17"/>
      <c r="W1070" s="17"/>
      <c r="X1070" s="17"/>
      <c r="Y1070" s="17"/>
    </row>
    <row r="1071" spans="2:25" x14ac:dyDescent="0.35">
      <c r="B1071" s="24" t="s">
        <v>50</v>
      </c>
      <c r="C1071" s="17"/>
      <c r="D1071" s="17"/>
      <c r="E1071" s="17"/>
      <c r="F1071" s="17"/>
      <c r="G1071" s="17"/>
      <c r="H1071" s="17"/>
      <c r="I1071" s="17"/>
      <c r="J1071" s="17"/>
      <c r="K1071" s="17"/>
      <c r="L1071" s="17"/>
      <c r="M1071" s="17"/>
      <c r="N1071" s="17"/>
      <c r="O1071" s="17"/>
      <c r="P1071" s="17"/>
      <c r="Q1071" s="17"/>
      <c r="R1071" s="17"/>
      <c r="S1071" s="17"/>
      <c r="T1071" s="17"/>
      <c r="U1071" s="17"/>
      <c r="V1071" s="17"/>
      <c r="W1071" s="17"/>
      <c r="X1071" s="17"/>
      <c r="Y1071" s="17"/>
    </row>
    <row r="1072" spans="2:25" x14ac:dyDescent="0.35">
      <c r="B1072" t="s">
        <v>431</v>
      </c>
      <c r="C1072" s="17">
        <v>5.1086449006857403E-2</v>
      </c>
      <c r="D1072" s="17">
        <v>7.2025805807542198E-2</v>
      </c>
      <c r="E1072" s="17">
        <v>3.1331175377537102E-2</v>
      </c>
      <c r="F1072" s="17"/>
      <c r="G1072" s="17">
        <v>0.11124374508606601</v>
      </c>
      <c r="H1072" s="17">
        <v>9.8970412377272096E-2</v>
      </c>
      <c r="I1072" s="17">
        <v>6.4796516621453998E-2</v>
      </c>
      <c r="J1072" s="17">
        <v>4.01560121858206E-2</v>
      </c>
      <c r="K1072" s="17">
        <v>1.8229120893747199E-2</v>
      </c>
      <c r="L1072" s="17">
        <v>2.0654793805676201E-2</v>
      </c>
      <c r="M1072" s="17"/>
      <c r="N1072" s="17">
        <v>3.9115832792018801E-2</v>
      </c>
      <c r="O1072" s="17">
        <v>1.9438909904567099E-2</v>
      </c>
      <c r="P1072" s="17">
        <v>7.0955456789679794E-2</v>
      </c>
      <c r="Q1072" s="17">
        <v>4.6259844436325297E-2</v>
      </c>
      <c r="R1072" s="17">
        <v>3.4842691047802701E-2</v>
      </c>
      <c r="S1072" s="17">
        <v>4.7440636723653097E-2</v>
      </c>
      <c r="T1072" s="17">
        <v>4.6767414475704303E-2</v>
      </c>
      <c r="U1072" s="17">
        <v>6.2838223119284303E-2</v>
      </c>
      <c r="V1072" s="17">
        <v>6.6455799920953407E-2</v>
      </c>
      <c r="W1072" s="17"/>
      <c r="X1072" s="17">
        <v>8.0993739677132207E-2</v>
      </c>
      <c r="Y1072" s="17">
        <v>3.4536755469547702E-2</v>
      </c>
    </row>
    <row r="1073" spans="2:25" x14ac:dyDescent="0.35">
      <c r="B1073" t="s">
        <v>432</v>
      </c>
      <c r="C1073" s="17">
        <v>0.21487933056276901</v>
      </c>
      <c r="D1073" s="17">
        <v>0.27306681854992598</v>
      </c>
      <c r="E1073" s="17">
        <v>0.15918011246920399</v>
      </c>
      <c r="F1073" s="17"/>
      <c r="G1073" s="17">
        <v>0.31398816943580499</v>
      </c>
      <c r="H1073" s="17">
        <v>0.29162732754549903</v>
      </c>
      <c r="I1073" s="17">
        <v>0.25483195514198997</v>
      </c>
      <c r="J1073" s="17">
        <v>0.18603792344141501</v>
      </c>
      <c r="K1073" s="17">
        <v>0.189087320439219</v>
      </c>
      <c r="L1073" s="17">
        <v>0.14362046557410901</v>
      </c>
      <c r="M1073" s="17"/>
      <c r="N1073" s="17">
        <v>0.20353618602395701</v>
      </c>
      <c r="O1073" s="17">
        <v>0.12867241424334</v>
      </c>
      <c r="P1073" s="17">
        <v>0.25765035311696599</v>
      </c>
      <c r="Q1073" s="17">
        <v>0.235525340019589</v>
      </c>
      <c r="R1073" s="17">
        <v>0.13800703080597901</v>
      </c>
      <c r="S1073" s="17">
        <v>0.27247786425702802</v>
      </c>
      <c r="T1073" s="17">
        <v>0.197327347027314</v>
      </c>
      <c r="U1073" s="17">
        <v>0.204712299782072</v>
      </c>
      <c r="V1073" s="17">
        <v>0.22285301639994101</v>
      </c>
      <c r="W1073" s="17"/>
      <c r="X1073" s="17">
        <v>0.27146404676798502</v>
      </c>
      <c r="Y1073" s="17">
        <v>0.183567242737217</v>
      </c>
    </row>
    <row r="1074" spans="2:25" x14ac:dyDescent="0.35">
      <c r="B1074" t="s">
        <v>433</v>
      </c>
      <c r="C1074" s="17">
        <v>0.57180794151671999</v>
      </c>
      <c r="D1074" s="17">
        <v>0.53834409708588005</v>
      </c>
      <c r="E1074" s="17">
        <v>0.60426025677029604</v>
      </c>
      <c r="F1074" s="17"/>
      <c r="G1074" s="17">
        <v>0.47579249108896199</v>
      </c>
      <c r="H1074" s="17">
        <v>0.49063762706880598</v>
      </c>
      <c r="I1074" s="17">
        <v>0.54751825807024701</v>
      </c>
      <c r="J1074" s="17">
        <v>0.59764336885289904</v>
      </c>
      <c r="K1074" s="17">
        <v>0.61119298745644601</v>
      </c>
      <c r="L1074" s="17">
        <v>0.62759345494116203</v>
      </c>
      <c r="M1074" s="17"/>
      <c r="N1074" s="17">
        <v>0.56691284611788495</v>
      </c>
      <c r="O1074" s="17">
        <v>0.67224948652045402</v>
      </c>
      <c r="P1074" s="17">
        <v>0.49434639813793002</v>
      </c>
      <c r="Q1074" s="17">
        <v>0.65873402066133901</v>
      </c>
      <c r="R1074" s="17">
        <v>0.69552071005557703</v>
      </c>
      <c r="S1074" s="17">
        <v>0.58742477185578601</v>
      </c>
      <c r="T1074" s="17">
        <v>0.49709072968135498</v>
      </c>
      <c r="U1074" s="17">
        <v>0.46592813167302899</v>
      </c>
      <c r="V1074" s="17">
        <v>0.60511310410438401</v>
      </c>
      <c r="W1074" s="17"/>
      <c r="X1074" s="17">
        <v>0.52802279341670399</v>
      </c>
      <c r="Y1074" s="17">
        <v>0.59603717680686996</v>
      </c>
    </row>
    <row r="1075" spans="2:25" x14ac:dyDescent="0.35">
      <c r="B1075" t="s">
        <v>434</v>
      </c>
      <c r="C1075" s="17">
        <v>0.16222627891365299</v>
      </c>
      <c r="D1075" s="17">
        <v>0.11656327855665199</v>
      </c>
      <c r="E1075" s="17">
        <v>0.205228455382964</v>
      </c>
      <c r="F1075" s="17"/>
      <c r="G1075" s="17">
        <v>9.8975594389165797E-2</v>
      </c>
      <c r="H1075" s="17">
        <v>0.11876463300842301</v>
      </c>
      <c r="I1075" s="17">
        <v>0.13285327016630899</v>
      </c>
      <c r="J1075" s="17">
        <v>0.17616269551986599</v>
      </c>
      <c r="K1075" s="17">
        <v>0.18149057121058801</v>
      </c>
      <c r="L1075" s="17">
        <v>0.20813128567905301</v>
      </c>
      <c r="M1075" s="17"/>
      <c r="N1075" s="17">
        <v>0.19043513506613999</v>
      </c>
      <c r="O1075" s="17">
        <v>0.179639189331639</v>
      </c>
      <c r="P1075" s="17">
        <v>0.177047791955424</v>
      </c>
      <c r="Q1075" s="17">
        <v>5.9480794882747302E-2</v>
      </c>
      <c r="R1075" s="17">
        <v>0.131629568090641</v>
      </c>
      <c r="S1075" s="17">
        <v>9.26567271635335E-2</v>
      </c>
      <c r="T1075" s="17">
        <v>0.25881450881562601</v>
      </c>
      <c r="U1075" s="17">
        <v>0.26652134542561401</v>
      </c>
      <c r="V1075" s="17">
        <v>0.105578079574722</v>
      </c>
      <c r="W1075" s="17"/>
      <c r="X1075" s="17">
        <v>0.119519420138179</v>
      </c>
      <c r="Y1075" s="17">
        <v>0.18585882498636599</v>
      </c>
    </row>
    <row r="1076" spans="2:25" x14ac:dyDescent="0.35">
      <c r="C1076" s="17"/>
      <c r="D1076" s="17"/>
      <c r="E1076" s="17"/>
      <c r="F1076" s="17"/>
      <c r="G1076" s="17"/>
      <c r="H1076" s="17"/>
      <c r="I1076" s="17"/>
      <c r="J1076" s="17"/>
      <c r="K1076" s="17"/>
      <c r="L1076" s="17"/>
      <c r="M1076" s="17"/>
      <c r="N1076" s="17"/>
      <c r="O1076" s="17"/>
      <c r="P1076" s="17"/>
      <c r="Q1076" s="17"/>
      <c r="R1076" s="17"/>
      <c r="S1076" s="17"/>
      <c r="T1076" s="17"/>
      <c r="U1076" s="17"/>
      <c r="V1076" s="17"/>
      <c r="W1076" s="17"/>
      <c r="X1076" s="17"/>
      <c r="Y1076" s="17"/>
    </row>
    <row r="1077" spans="2:25" x14ac:dyDescent="0.35">
      <c r="B1077" s="6" t="s">
        <v>438</v>
      </c>
      <c r="C1077" s="17"/>
      <c r="D1077" s="17"/>
      <c r="E1077" s="17"/>
      <c r="F1077" s="17"/>
      <c r="G1077" s="17"/>
      <c r="H1077" s="17"/>
      <c r="I1077" s="17"/>
      <c r="J1077" s="17"/>
      <c r="K1077" s="17"/>
      <c r="L1077" s="17"/>
      <c r="M1077" s="17"/>
      <c r="N1077" s="17"/>
      <c r="O1077" s="17"/>
      <c r="P1077" s="17"/>
      <c r="Q1077" s="17"/>
      <c r="R1077" s="17"/>
      <c r="S1077" s="17"/>
      <c r="T1077" s="17"/>
      <c r="U1077" s="17"/>
      <c r="V1077" s="17"/>
      <c r="W1077" s="17"/>
      <c r="X1077" s="17"/>
      <c r="Y1077" s="17"/>
    </row>
    <row r="1078" spans="2:25" x14ac:dyDescent="0.35">
      <c r="B1078" s="24" t="s">
        <v>50</v>
      </c>
      <c r="C1078" s="17"/>
      <c r="D1078" s="17"/>
      <c r="E1078" s="17"/>
      <c r="F1078" s="17"/>
      <c r="G1078" s="17"/>
      <c r="H1078" s="17"/>
      <c r="I1078" s="17"/>
      <c r="J1078" s="17"/>
      <c r="K1078" s="17"/>
      <c r="L1078" s="17"/>
      <c r="M1078" s="17"/>
      <c r="N1078" s="17"/>
      <c r="O1078" s="17"/>
      <c r="P1078" s="17"/>
      <c r="Q1078" s="17"/>
      <c r="R1078" s="17"/>
      <c r="S1078" s="17"/>
      <c r="T1078" s="17"/>
      <c r="U1078" s="17"/>
      <c r="V1078" s="17"/>
      <c r="W1078" s="17"/>
      <c r="X1078" s="17"/>
      <c r="Y1078" s="17"/>
    </row>
    <row r="1079" spans="2:25" x14ac:dyDescent="0.35">
      <c r="B1079" t="s">
        <v>431</v>
      </c>
      <c r="C1079" s="17">
        <v>7.3278369933533705E-2</v>
      </c>
      <c r="D1079" s="17">
        <v>9.6654252629514201E-2</v>
      </c>
      <c r="E1079" s="17">
        <v>5.072782802669E-2</v>
      </c>
      <c r="F1079" s="17"/>
      <c r="G1079" s="17">
        <v>0.18537693074935899</v>
      </c>
      <c r="H1079" s="17">
        <v>0.12936983045529599</v>
      </c>
      <c r="I1079" s="17">
        <v>9.03542188514979E-2</v>
      </c>
      <c r="J1079" s="17">
        <v>4.8259519784596298E-2</v>
      </c>
      <c r="K1079" s="17">
        <v>3.3977754451747999E-2</v>
      </c>
      <c r="L1079" s="17">
        <v>3.0367637574297598E-2</v>
      </c>
      <c r="M1079" s="17"/>
      <c r="N1079" s="17">
        <v>7.6942757107261395E-2</v>
      </c>
      <c r="O1079" s="17">
        <v>2.8775278105930401E-2</v>
      </c>
      <c r="P1079" s="17">
        <v>8.3280615320970294E-2</v>
      </c>
      <c r="Q1079" s="17">
        <v>6.8769635580100699E-2</v>
      </c>
      <c r="R1079" s="17">
        <v>4.9565906032104201E-2</v>
      </c>
      <c r="S1079" s="17">
        <v>8.5842325001379505E-2</v>
      </c>
      <c r="T1079" s="17">
        <v>6.9873957443599796E-2</v>
      </c>
      <c r="U1079" s="17">
        <v>7.9589778390446106E-2</v>
      </c>
      <c r="V1079" s="17">
        <v>0.10009845861539</v>
      </c>
      <c r="W1079" s="17"/>
      <c r="X1079" s="17">
        <v>0.107596939021919</v>
      </c>
      <c r="Y1079" s="17">
        <v>5.4287622583213797E-2</v>
      </c>
    </row>
    <row r="1080" spans="2:25" x14ac:dyDescent="0.35">
      <c r="B1080" t="s">
        <v>432</v>
      </c>
      <c r="C1080" s="17">
        <v>0.29765036127843097</v>
      </c>
      <c r="D1080" s="17">
        <v>0.36860427785183297</v>
      </c>
      <c r="E1080" s="17">
        <v>0.23025388116387199</v>
      </c>
      <c r="F1080" s="17"/>
      <c r="G1080" s="17">
        <v>0.38808505723356901</v>
      </c>
      <c r="H1080" s="17">
        <v>0.387006516403607</v>
      </c>
      <c r="I1080" s="17">
        <v>0.32680195869430001</v>
      </c>
      <c r="J1080" s="17">
        <v>0.28331958031696097</v>
      </c>
      <c r="K1080" s="17">
        <v>0.24099870879089999</v>
      </c>
      <c r="L1080" s="17">
        <v>0.239480652089198</v>
      </c>
      <c r="M1080" s="17"/>
      <c r="N1080" s="17">
        <v>0.34110156886544901</v>
      </c>
      <c r="O1080" s="17">
        <v>0.24672390244949999</v>
      </c>
      <c r="P1080" s="17">
        <v>0.35779153713623801</v>
      </c>
      <c r="Q1080" s="17">
        <v>0.30624599031406102</v>
      </c>
      <c r="R1080" s="17">
        <v>0.213260903918634</v>
      </c>
      <c r="S1080" s="17">
        <v>0.35822429159643898</v>
      </c>
      <c r="T1080" s="17">
        <v>0.28698434876107398</v>
      </c>
      <c r="U1080" s="17">
        <v>0.26038139024385898</v>
      </c>
      <c r="V1080" s="17">
        <v>0.30836605771331199</v>
      </c>
      <c r="W1080" s="17"/>
      <c r="X1080" s="17">
        <v>0.36904211864528003</v>
      </c>
      <c r="Y1080" s="17">
        <v>0.25814455252639801</v>
      </c>
    </row>
    <row r="1081" spans="2:25" x14ac:dyDescent="0.35">
      <c r="B1081" t="s">
        <v>433</v>
      </c>
      <c r="C1081" s="17">
        <v>0.51679353176237397</v>
      </c>
      <c r="D1081" s="17">
        <v>0.463469350822929</v>
      </c>
      <c r="E1081" s="17">
        <v>0.56768857096963499</v>
      </c>
      <c r="F1081" s="17"/>
      <c r="G1081" s="17">
        <v>0.35894657959790499</v>
      </c>
      <c r="H1081" s="17">
        <v>0.404973926526568</v>
      </c>
      <c r="I1081" s="17">
        <v>0.48720174891849299</v>
      </c>
      <c r="J1081" s="17">
        <v>0.54498313082227801</v>
      </c>
      <c r="K1081" s="17">
        <v>0.5911403113132</v>
      </c>
      <c r="L1081" s="17">
        <v>0.59251319033814198</v>
      </c>
      <c r="M1081" s="17"/>
      <c r="N1081" s="17">
        <v>0.47559286068645001</v>
      </c>
      <c r="O1081" s="17">
        <v>0.61112017072385305</v>
      </c>
      <c r="P1081" s="17">
        <v>0.44805229508282401</v>
      </c>
      <c r="Q1081" s="17">
        <v>0.57320673474914896</v>
      </c>
      <c r="R1081" s="17">
        <v>0.66169768727409095</v>
      </c>
      <c r="S1081" s="17">
        <v>0.49152348166565002</v>
      </c>
      <c r="T1081" s="17">
        <v>0.44408054694612997</v>
      </c>
      <c r="U1081" s="17">
        <v>0.46524795123997198</v>
      </c>
      <c r="V1081" s="17">
        <v>0.53448115776822502</v>
      </c>
      <c r="W1081" s="17"/>
      <c r="X1081" s="17">
        <v>0.45075225852023898</v>
      </c>
      <c r="Y1081" s="17">
        <v>0.55333856170242701</v>
      </c>
    </row>
    <row r="1082" spans="2:25" x14ac:dyDescent="0.35">
      <c r="B1082" t="s">
        <v>434</v>
      </c>
      <c r="C1082" s="17">
        <v>0.112277737025662</v>
      </c>
      <c r="D1082" s="17">
        <v>7.1272118695723696E-2</v>
      </c>
      <c r="E1082" s="17">
        <v>0.15132971983980201</v>
      </c>
      <c r="F1082" s="17"/>
      <c r="G1082" s="17">
        <v>6.7591432419166805E-2</v>
      </c>
      <c r="H1082" s="17">
        <v>7.8649726614528098E-2</v>
      </c>
      <c r="I1082" s="17">
        <v>9.5642073535708597E-2</v>
      </c>
      <c r="J1082" s="17">
        <v>0.12343776907616499</v>
      </c>
      <c r="K1082" s="17">
        <v>0.13388322544415199</v>
      </c>
      <c r="L1082" s="17">
        <v>0.13763851999836199</v>
      </c>
      <c r="M1082" s="17"/>
      <c r="N1082" s="17">
        <v>0.10636281334084</v>
      </c>
      <c r="O1082" s="17">
        <v>0.113380648720716</v>
      </c>
      <c r="P1082" s="17">
        <v>0.110875552459968</v>
      </c>
      <c r="Q1082" s="17">
        <v>5.1777639356689997E-2</v>
      </c>
      <c r="R1082" s="17">
        <v>7.5475502775170997E-2</v>
      </c>
      <c r="S1082" s="17">
        <v>6.4409901736531994E-2</v>
      </c>
      <c r="T1082" s="17">
        <v>0.19906114684919601</v>
      </c>
      <c r="U1082" s="17">
        <v>0.194780880125723</v>
      </c>
      <c r="V1082" s="17">
        <v>5.7054325903072599E-2</v>
      </c>
      <c r="W1082" s="17"/>
      <c r="X1082" s="17">
        <v>7.2608683812562205E-2</v>
      </c>
      <c r="Y1082" s="17">
        <v>0.134229263187961</v>
      </c>
    </row>
    <row r="1083" spans="2:25" x14ac:dyDescent="0.35">
      <c r="C1083" s="17"/>
      <c r="D1083" s="17"/>
      <c r="E1083" s="17"/>
      <c r="F1083" s="17"/>
      <c r="G1083" s="17"/>
      <c r="H1083" s="17"/>
      <c r="I1083" s="17"/>
      <c r="J1083" s="17"/>
      <c r="K1083" s="17"/>
      <c r="L1083" s="17"/>
      <c r="M1083" s="17"/>
      <c r="N1083" s="17"/>
      <c r="O1083" s="17"/>
      <c r="P1083" s="17"/>
      <c r="Q1083" s="17"/>
      <c r="R1083" s="17"/>
      <c r="S1083" s="17"/>
      <c r="T1083" s="17"/>
      <c r="U1083" s="17"/>
      <c r="V1083" s="17"/>
      <c r="W1083" s="17"/>
      <c r="X1083" s="17"/>
      <c r="Y1083" s="17"/>
    </row>
    <row r="1084" spans="2:25" x14ac:dyDescent="0.35">
      <c r="B1084" s="6" t="s">
        <v>439</v>
      </c>
      <c r="C1084" s="17"/>
      <c r="D1084" s="17"/>
      <c r="E1084" s="17"/>
      <c r="F1084" s="17"/>
      <c r="G1084" s="17"/>
      <c r="H1084" s="17"/>
      <c r="I1084" s="17"/>
      <c r="J1084" s="17"/>
      <c r="K1084" s="17"/>
      <c r="L1084" s="17"/>
      <c r="M1084" s="17"/>
      <c r="N1084" s="17"/>
      <c r="O1084" s="17"/>
      <c r="P1084" s="17"/>
      <c r="Q1084" s="17"/>
      <c r="R1084" s="17"/>
      <c r="S1084" s="17"/>
      <c r="T1084" s="17"/>
      <c r="U1084" s="17"/>
      <c r="V1084" s="17"/>
      <c r="W1084" s="17"/>
      <c r="X1084" s="17"/>
      <c r="Y1084" s="17"/>
    </row>
    <row r="1085" spans="2:25" x14ac:dyDescent="0.35">
      <c r="B1085" s="24" t="s">
        <v>50</v>
      </c>
      <c r="C1085" s="17"/>
      <c r="D1085" s="17"/>
      <c r="E1085" s="17"/>
      <c r="F1085" s="17"/>
      <c r="G1085" s="17"/>
      <c r="H1085" s="17"/>
      <c r="I1085" s="17"/>
      <c r="J1085" s="17"/>
      <c r="K1085" s="17"/>
      <c r="L1085" s="17"/>
      <c r="M1085" s="17"/>
      <c r="N1085" s="17"/>
      <c r="O1085" s="17"/>
      <c r="P1085" s="17"/>
      <c r="Q1085" s="17"/>
      <c r="R1085" s="17"/>
      <c r="S1085" s="17"/>
      <c r="T1085" s="17"/>
      <c r="U1085" s="17"/>
      <c r="V1085" s="17"/>
      <c r="W1085" s="17"/>
      <c r="X1085" s="17"/>
      <c r="Y1085" s="17"/>
    </row>
    <row r="1086" spans="2:25" x14ac:dyDescent="0.35">
      <c r="B1086" t="s">
        <v>431</v>
      </c>
      <c r="C1086" s="17">
        <v>4.7477994625868797E-2</v>
      </c>
      <c r="D1086" s="17">
        <v>6.8731997600274999E-2</v>
      </c>
      <c r="E1086" s="17">
        <v>2.7403118200226201E-2</v>
      </c>
      <c r="F1086" s="17"/>
      <c r="G1086" s="17">
        <v>0.117348382889124</v>
      </c>
      <c r="H1086" s="17">
        <v>0.115591305867358</v>
      </c>
      <c r="I1086" s="17">
        <v>6.0367936332722999E-2</v>
      </c>
      <c r="J1086" s="17">
        <v>2.5167564007788901E-2</v>
      </c>
      <c r="K1086" s="17">
        <v>1.3686279615669599E-2</v>
      </c>
      <c r="L1086" s="17">
        <v>1.03737839725786E-2</v>
      </c>
      <c r="M1086" s="17"/>
      <c r="N1086" s="17">
        <v>7.1779577836526207E-2</v>
      </c>
      <c r="O1086" s="17">
        <v>1.87504726078816E-2</v>
      </c>
      <c r="P1086" s="17">
        <v>4.6772512021941E-2</v>
      </c>
      <c r="Q1086" s="17">
        <v>5.61617261210259E-2</v>
      </c>
      <c r="R1086" s="17">
        <v>3.6692617081549403E-2</v>
      </c>
      <c r="S1086" s="17">
        <v>4.6959511984690797E-2</v>
      </c>
      <c r="T1086" s="17">
        <v>3.5838597427673598E-2</v>
      </c>
      <c r="U1086" s="17">
        <v>5.0502542599231703E-2</v>
      </c>
      <c r="V1086" s="17">
        <v>7.8904077424606103E-2</v>
      </c>
      <c r="W1086" s="17"/>
      <c r="X1086" s="17">
        <v>7.4040271027698099E-2</v>
      </c>
      <c r="Y1086" s="17">
        <v>3.2779320013376703E-2</v>
      </c>
    </row>
    <row r="1087" spans="2:25" x14ac:dyDescent="0.35">
      <c r="B1087" t="s">
        <v>432</v>
      </c>
      <c r="C1087" s="17">
        <v>0.16302884330558601</v>
      </c>
      <c r="D1087" s="17">
        <v>0.21502473276921599</v>
      </c>
      <c r="E1087" s="17">
        <v>0.112931340294328</v>
      </c>
      <c r="F1087" s="17"/>
      <c r="G1087" s="17">
        <v>0.288053859555082</v>
      </c>
      <c r="H1087" s="17">
        <v>0.24673843995331199</v>
      </c>
      <c r="I1087" s="17">
        <v>0.228474414675747</v>
      </c>
      <c r="J1087" s="17">
        <v>0.149225533853618</v>
      </c>
      <c r="K1087" s="17">
        <v>0.110651932624831</v>
      </c>
      <c r="L1087" s="17">
        <v>6.8874104609500802E-2</v>
      </c>
      <c r="M1087" s="17"/>
      <c r="N1087" s="17">
        <v>0.13518097722799</v>
      </c>
      <c r="O1087" s="17">
        <v>0.13201906409918401</v>
      </c>
      <c r="P1087" s="17">
        <v>0.16664762188169699</v>
      </c>
      <c r="Q1087" s="17">
        <v>0.195305229277774</v>
      </c>
      <c r="R1087" s="17">
        <v>0.18970227442711399</v>
      </c>
      <c r="S1087" s="17">
        <v>0.16455068140985399</v>
      </c>
      <c r="T1087" s="17">
        <v>0.12431551806471999</v>
      </c>
      <c r="U1087" s="17">
        <v>0.168973053892533</v>
      </c>
      <c r="V1087" s="17">
        <v>0.11547477178044301</v>
      </c>
      <c r="W1087" s="17"/>
      <c r="X1087" s="17">
        <v>0.220223589090319</v>
      </c>
      <c r="Y1087" s="17">
        <v>0.13137918553092001</v>
      </c>
    </row>
    <row r="1088" spans="2:25" x14ac:dyDescent="0.35">
      <c r="B1088" t="s">
        <v>433</v>
      </c>
      <c r="C1088" s="17">
        <v>0.40341179633073598</v>
      </c>
      <c r="D1088" s="17">
        <v>0.39856189529859298</v>
      </c>
      <c r="E1088" s="17">
        <v>0.40797206416488802</v>
      </c>
      <c r="F1088" s="17"/>
      <c r="G1088" s="17">
        <v>0.34248250965490801</v>
      </c>
      <c r="H1088" s="17">
        <v>0.372016228521654</v>
      </c>
      <c r="I1088" s="17">
        <v>0.41807887165113</v>
      </c>
      <c r="J1088" s="17">
        <v>0.43977807139897801</v>
      </c>
      <c r="K1088" s="17">
        <v>0.41531639079437199</v>
      </c>
      <c r="L1088" s="17">
        <v>0.40257720974785599</v>
      </c>
      <c r="M1088" s="17"/>
      <c r="N1088" s="17">
        <v>0.32548614991708003</v>
      </c>
      <c r="O1088" s="17">
        <v>0.35327235411459101</v>
      </c>
      <c r="P1088" s="17">
        <v>0.34739387498373903</v>
      </c>
      <c r="Q1088" s="17">
        <v>0.450078769088469</v>
      </c>
      <c r="R1088" s="17">
        <v>0.48488777130564198</v>
      </c>
      <c r="S1088" s="17">
        <v>0.364823024555819</v>
      </c>
      <c r="T1088" s="17">
        <v>0.41668836018354299</v>
      </c>
      <c r="U1088" s="17">
        <v>0.408156034376985</v>
      </c>
      <c r="V1088" s="17">
        <v>0.34065664055663702</v>
      </c>
      <c r="W1088" s="17"/>
      <c r="X1088" s="17">
        <v>0.40417762580354999</v>
      </c>
      <c r="Y1088" s="17">
        <v>0.40298801193593198</v>
      </c>
    </row>
    <row r="1089" spans="2:25" x14ac:dyDescent="0.35">
      <c r="B1089" t="s">
        <v>434</v>
      </c>
      <c r="C1089" s="17">
        <v>0.38608136573780999</v>
      </c>
      <c r="D1089" s="17">
        <v>0.31768137433191501</v>
      </c>
      <c r="E1089" s="17">
        <v>0.45169347734055798</v>
      </c>
      <c r="F1089" s="17"/>
      <c r="G1089" s="17">
        <v>0.25211524790088602</v>
      </c>
      <c r="H1089" s="17">
        <v>0.26565402565767599</v>
      </c>
      <c r="I1089" s="17">
        <v>0.2930787773404</v>
      </c>
      <c r="J1089" s="17">
        <v>0.38582883073961499</v>
      </c>
      <c r="K1089" s="17">
        <v>0.460345396965127</v>
      </c>
      <c r="L1089" s="17">
        <v>0.51817490167006497</v>
      </c>
      <c r="M1089" s="17"/>
      <c r="N1089" s="17">
        <v>0.46755329501840398</v>
      </c>
      <c r="O1089" s="17">
        <v>0.49595810917834399</v>
      </c>
      <c r="P1089" s="17">
        <v>0.43918599111262302</v>
      </c>
      <c r="Q1089" s="17">
        <v>0.29845427551273102</v>
      </c>
      <c r="R1089" s="17">
        <v>0.28871733718569498</v>
      </c>
      <c r="S1089" s="17">
        <v>0.42366678204963598</v>
      </c>
      <c r="T1089" s="17">
        <v>0.423157524324064</v>
      </c>
      <c r="U1089" s="17">
        <v>0.37236836913125099</v>
      </c>
      <c r="V1089" s="17">
        <v>0.46496451023831398</v>
      </c>
      <c r="W1089" s="17"/>
      <c r="X1089" s="17">
        <v>0.30155851407843298</v>
      </c>
      <c r="Y1089" s="17">
        <v>0.43285348251977102</v>
      </c>
    </row>
    <row r="1090" spans="2:25" x14ac:dyDescent="0.35">
      <c r="C1090" s="17"/>
      <c r="D1090" s="17"/>
      <c r="E1090" s="17"/>
      <c r="F1090" s="17"/>
      <c r="G1090" s="17"/>
      <c r="H1090" s="17"/>
      <c r="I1090" s="17"/>
      <c r="J1090" s="17"/>
      <c r="K1090" s="17"/>
      <c r="L1090" s="17"/>
      <c r="M1090" s="17"/>
      <c r="N1090" s="17"/>
      <c r="O1090" s="17"/>
      <c r="P1090" s="17"/>
      <c r="Q1090" s="17"/>
      <c r="R1090" s="17"/>
      <c r="S1090" s="17"/>
      <c r="T1090" s="17"/>
      <c r="U1090" s="17"/>
      <c r="V1090" s="17"/>
      <c r="W1090" s="17"/>
      <c r="X1090" s="17"/>
      <c r="Y1090" s="17"/>
    </row>
    <row r="1091" spans="2:25" x14ac:dyDescent="0.35">
      <c r="B1091" s="6" t="s">
        <v>440</v>
      </c>
      <c r="C1091" s="17"/>
      <c r="D1091" s="17"/>
      <c r="E1091" s="17"/>
      <c r="F1091" s="17"/>
      <c r="G1091" s="17"/>
      <c r="H1091" s="17"/>
      <c r="I1091" s="17"/>
      <c r="J1091" s="17"/>
      <c r="K1091" s="17"/>
      <c r="L1091" s="17"/>
      <c r="M1091" s="17"/>
      <c r="N1091" s="17"/>
      <c r="O1091" s="17"/>
      <c r="P1091" s="17"/>
      <c r="Q1091" s="17"/>
      <c r="R1091" s="17"/>
      <c r="S1091" s="17"/>
      <c r="T1091" s="17"/>
      <c r="U1091" s="17"/>
      <c r="V1091" s="17"/>
      <c r="W1091" s="17"/>
      <c r="X1091" s="17"/>
      <c r="Y1091" s="17"/>
    </row>
    <row r="1092" spans="2:25" x14ac:dyDescent="0.35">
      <c r="B1092" s="24" t="s">
        <v>50</v>
      </c>
      <c r="C1092" s="17"/>
      <c r="D1092" s="17"/>
      <c r="E1092" s="17"/>
      <c r="F1092" s="17"/>
      <c r="G1092" s="17"/>
      <c r="H1092" s="17"/>
      <c r="I1092" s="17"/>
      <c r="J1092" s="17"/>
      <c r="K1092" s="17"/>
      <c r="L1092" s="17"/>
      <c r="M1092" s="17"/>
      <c r="N1092" s="17"/>
      <c r="O1092" s="17"/>
      <c r="P1092" s="17"/>
      <c r="Q1092" s="17"/>
      <c r="R1092" s="17"/>
      <c r="S1092" s="17"/>
      <c r="T1092" s="17"/>
      <c r="U1092" s="17"/>
      <c r="V1092" s="17"/>
      <c r="W1092" s="17"/>
      <c r="X1092" s="17"/>
      <c r="Y1092" s="17"/>
    </row>
    <row r="1093" spans="2:25" x14ac:dyDescent="0.35">
      <c r="B1093" t="s">
        <v>431</v>
      </c>
      <c r="C1093" s="17">
        <v>8.8335688248670399E-2</v>
      </c>
      <c r="D1093" s="17">
        <v>0.120300062234726</v>
      </c>
      <c r="E1093" s="17">
        <v>5.7460507828378297E-2</v>
      </c>
      <c r="F1093" s="17"/>
      <c r="G1093" s="17">
        <v>0.21516974274039</v>
      </c>
      <c r="H1093" s="17">
        <v>0.17959535329837301</v>
      </c>
      <c r="I1093" s="17">
        <v>0.112926210786221</v>
      </c>
      <c r="J1093" s="17">
        <v>6.4606864466325103E-2</v>
      </c>
      <c r="K1093" s="17">
        <v>3.1082470523336601E-2</v>
      </c>
      <c r="L1093" s="17">
        <v>2.5237045924370798E-2</v>
      </c>
      <c r="M1093" s="17"/>
      <c r="N1093" s="17">
        <v>8.9784414054623798E-2</v>
      </c>
      <c r="O1093" s="17">
        <v>4.2234108464096497E-2</v>
      </c>
      <c r="P1093" s="17">
        <v>0.11923020581487</v>
      </c>
      <c r="Q1093" s="17">
        <v>6.9270168412369298E-2</v>
      </c>
      <c r="R1093" s="17">
        <v>6.3953542096343893E-2</v>
      </c>
      <c r="S1093" s="17">
        <v>8.4384123914280407E-2</v>
      </c>
      <c r="T1093" s="17">
        <v>9.1527927565530506E-2</v>
      </c>
      <c r="U1093" s="17">
        <v>9.7655143973444297E-2</v>
      </c>
      <c r="V1093" s="17">
        <v>0.120155584579459</v>
      </c>
      <c r="W1093" s="17"/>
      <c r="X1093" s="17">
        <v>0.11798571764400299</v>
      </c>
      <c r="Y1093" s="17">
        <v>7.1928354489324303E-2</v>
      </c>
    </row>
    <row r="1094" spans="2:25" x14ac:dyDescent="0.35">
      <c r="B1094" t="s">
        <v>432</v>
      </c>
      <c r="C1094" s="17">
        <v>0.26499693274444203</v>
      </c>
      <c r="D1094" s="17">
        <v>0.31656971291012098</v>
      </c>
      <c r="E1094" s="17">
        <v>0.21612039051736101</v>
      </c>
      <c r="F1094" s="17"/>
      <c r="G1094" s="17">
        <v>0.424221049673077</v>
      </c>
      <c r="H1094" s="17">
        <v>0.347725995429779</v>
      </c>
      <c r="I1094" s="17">
        <v>0.33796118828049398</v>
      </c>
      <c r="J1094" s="17">
        <v>0.26048029778460702</v>
      </c>
      <c r="K1094" s="17">
        <v>0.21538411026332399</v>
      </c>
      <c r="L1094" s="17">
        <v>0.14570727558718999</v>
      </c>
      <c r="M1094" s="17"/>
      <c r="N1094" s="17">
        <v>0.267297437969303</v>
      </c>
      <c r="O1094" s="17">
        <v>0.221808144160488</v>
      </c>
      <c r="P1094" s="17">
        <v>0.36341358816966501</v>
      </c>
      <c r="Q1094" s="17">
        <v>0.23257388460717601</v>
      </c>
      <c r="R1094" s="17">
        <v>0.23010922151501201</v>
      </c>
      <c r="S1094" s="17">
        <v>0.28301779237484997</v>
      </c>
      <c r="T1094" s="17">
        <v>0.21420808026945201</v>
      </c>
      <c r="U1094" s="17">
        <v>0.265361164413912</v>
      </c>
      <c r="V1094" s="17">
        <v>0.288685558956919</v>
      </c>
      <c r="W1094" s="17"/>
      <c r="X1094" s="17">
        <v>0.32483378289536702</v>
      </c>
      <c r="Y1094" s="17">
        <v>0.23188522285558899</v>
      </c>
    </row>
    <row r="1095" spans="2:25" x14ac:dyDescent="0.35">
      <c r="B1095" t="s">
        <v>433</v>
      </c>
      <c r="C1095" s="17">
        <v>0.491716985912384</v>
      </c>
      <c r="D1095" s="17">
        <v>0.448157657269943</v>
      </c>
      <c r="E1095" s="17">
        <v>0.53321353969177399</v>
      </c>
      <c r="F1095" s="17"/>
      <c r="G1095" s="17">
        <v>0.29411435276397202</v>
      </c>
      <c r="H1095" s="17">
        <v>0.38049428859884699</v>
      </c>
      <c r="I1095" s="17">
        <v>0.44463429052792303</v>
      </c>
      <c r="J1095" s="17">
        <v>0.52871107070429502</v>
      </c>
      <c r="K1095" s="17">
        <v>0.57159200884782602</v>
      </c>
      <c r="L1095" s="17">
        <v>0.58344249044325303</v>
      </c>
      <c r="M1095" s="17"/>
      <c r="N1095" s="17">
        <v>0.41965341276846002</v>
      </c>
      <c r="O1095" s="17">
        <v>0.57941889108826905</v>
      </c>
      <c r="P1095" s="17">
        <v>0.42566201021838801</v>
      </c>
      <c r="Q1095" s="17">
        <v>0.57634519124845696</v>
      </c>
      <c r="R1095" s="17">
        <v>0.60392519542647705</v>
      </c>
      <c r="S1095" s="17">
        <v>0.45469061166596603</v>
      </c>
      <c r="T1095" s="17">
        <v>0.43000114381461901</v>
      </c>
      <c r="U1095" s="17">
        <v>0.45929936964932599</v>
      </c>
      <c r="V1095" s="17">
        <v>0.48759325592489899</v>
      </c>
      <c r="W1095" s="17"/>
      <c r="X1095" s="17">
        <v>0.44437188902628399</v>
      </c>
      <c r="Y1095" s="17">
        <v>0.51791617769467302</v>
      </c>
    </row>
    <row r="1096" spans="2:25" x14ac:dyDescent="0.35">
      <c r="B1096" t="s">
        <v>434</v>
      </c>
      <c r="C1096" s="17">
        <v>0.15495039309450401</v>
      </c>
      <c r="D1096" s="17">
        <v>0.11497256758521</v>
      </c>
      <c r="E1096" s="17">
        <v>0.193205561962487</v>
      </c>
      <c r="F1096" s="17"/>
      <c r="G1096" s="17">
        <v>6.6494854822561206E-2</v>
      </c>
      <c r="H1096" s="17">
        <v>9.2184362672999703E-2</v>
      </c>
      <c r="I1096" s="17">
        <v>0.104478310405362</v>
      </c>
      <c r="J1096" s="17">
        <v>0.146201767044772</v>
      </c>
      <c r="K1096" s="17">
        <v>0.18194141036551401</v>
      </c>
      <c r="L1096" s="17">
        <v>0.245613188045186</v>
      </c>
      <c r="M1096" s="17"/>
      <c r="N1096" s="17">
        <v>0.223264735207612</v>
      </c>
      <c r="O1096" s="17">
        <v>0.15653885628714601</v>
      </c>
      <c r="P1096" s="17">
        <v>9.1694195797076702E-2</v>
      </c>
      <c r="Q1096" s="17">
        <v>0.121810755731998</v>
      </c>
      <c r="R1096" s="17">
        <v>0.102012040962167</v>
      </c>
      <c r="S1096" s="17">
        <v>0.17790747204490401</v>
      </c>
      <c r="T1096" s="17">
        <v>0.26426284835039798</v>
      </c>
      <c r="U1096" s="17">
        <v>0.17768432196331799</v>
      </c>
      <c r="V1096" s="17">
        <v>0.103565600538723</v>
      </c>
      <c r="W1096" s="17"/>
      <c r="X1096" s="17">
        <v>0.11280861043434599</v>
      </c>
      <c r="Y1096" s="17">
        <v>0.17827024496041299</v>
      </c>
    </row>
    <row r="1097" spans="2:25" x14ac:dyDescent="0.35">
      <c r="C1097" s="17"/>
      <c r="D1097" s="17"/>
      <c r="E1097" s="17"/>
      <c r="F1097" s="17"/>
      <c r="G1097" s="17"/>
      <c r="H1097" s="17"/>
      <c r="I1097" s="17"/>
      <c r="J1097" s="17"/>
      <c r="K1097" s="17"/>
      <c r="L1097" s="17"/>
      <c r="M1097" s="17"/>
      <c r="N1097" s="17"/>
      <c r="O1097" s="17"/>
      <c r="P1097" s="17"/>
      <c r="Q1097" s="17"/>
      <c r="R1097" s="17"/>
      <c r="S1097" s="17"/>
      <c r="T1097" s="17"/>
      <c r="U1097" s="17"/>
      <c r="V1097" s="17"/>
      <c r="W1097" s="17"/>
      <c r="X1097" s="17"/>
      <c r="Y1097" s="17"/>
    </row>
    <row r="1098" spans="2:25" x14ac:dyDescent="0.35">
      <c r="B1098" s="6" t="s">
        <v>441</v>
      </c>
      <c r="C1098" s="17"/>
      <c r="D1098" s="17"/>
      <c r="E1098" s="17"/>
      <c r="F1098" s="17"/>
      <c r="G1098" s="17"/>
      <c r="H1098" s="17"/>
      <c r="I1098" s="17"/>
      <c r="J1098" s="17"/>
      <c r="K1098" s="17"/>
      <c r="L1098" s="17"/>
      <c r="M1098" s="17"/>
      <c r="N1098" s="17"/>
      <c r="O1098" s="17"/>
      <c r="P1098" s="17"/>
      <c r="Q1098" s="17"/>
      <c r="R1098" s="17"/>
      <c r="S1098" s="17"/>
      <c r="T1098" s="17"/>
      <c r="U1098" s="17"/>
      <c r="V1098" s="17"/>
      <c r="W1098" s="17"/>
      <c r="X1098" s="17"/>
      <c r="Y1098" s="17"/>
    </row>
    <row r="1099" spans="2:25" x14ac:dyDescent="0.35">
      <c r="B1099" s="24" t="s">
        <v>50</v>
      </c>
      <c r="C1099" s="17"/>
      <c r="D1099" s="17"/>
      <c r="E1099" s="17"/>
      <c r="F1099" s="17"/>
      <c r="G1099" s="17"/>
      <c r="H1099" s="17"/>
      <c r="I1099" s="17"/>
      <c r="J1099" s="17"/>
      <c r="K1099" s="17"/>
      <c r="L1099" s="17"/>
      <c r="M1099" s="17"/>
      <c r="N1099" s="17"/>
      <c r="O1099" s="17"/>
      <c r="P1099" s="17"/>
      <c r="Q1099" s="17"/>
      <c r="R1099" s="17"/>
      <c r="S1099" s="17"/>
      <c r="T1099" s="17"/>
      <c r="U1099" s="17"/>
      <c r="V1099" s="17"/>
      <c r="W1099" s="17"/>
      <c r="X1099" s="17"/>
      <c r="Y1099" s="17"/>
    </row>
    <row r="1100" spans="2:25" x14ac:dyDescent="0.35">
      <c r="B1100" t="s">
        <v>431</v>
      </c>
      <c r="C1100" s="17">
        <v>0.118499812648616</v>
      </c>
      <c r="D1100" s="17">
        <v>0.13038329078526301</v>
      </c>
      <c r="E1100" s="17">
        <v>0.10700199901476801</v>
      </c>
      <c r="F1100" s="17"/>
      <c r="G1100" s="17">
        <v>0.24082244111126999</v>
      </c>
      <c r="H1100" s="17">
        <v>0.20947548035048399</v>
      </c>
      <c r="I1100" s="17">
        <v>0.13703062304831801</v>
      </c>
      <c r="J1100" s="17">
        <v>9.4211357219719197E-2</v>
      </c>
      <c r="K1100" s="17">
        <v>7.1295994219547798E-2</v>
      </c>
      <c r="L1100" s="17">
        <v>5.4902937627124303E-2</v>
      </c>
      <c r="M1100" s="17"/>
      <c r="N1100" s="17">
        <v>0.13131582560466201</v>
      </c>
      <c r="O1100" s="17">
        <v>7.0380134119796406E-2</v>
      </c>
      <c r="P1100" s="17">
        <v>0.133588704107378</v>
      </c>
      <c r="Q1100" s="17">
        <v>0.106528530974644</v>
      </c>
      <c r="R1100" s="17">
        <v>9.6610196779852803E-2</v>
      </c>
      <c r="S1100" s="17">
        <v>9.2489814433720993E-2</v>
      </c>
      <c r="T1100" s="17">
        <v>0.14560100824682401</v>
      </c>
      <c r="U1100" s="17">
        <v>0.143337822784111</v>
      </c>
      <c r="V1100" s="17">
        <v>0.117704679318686</v>
      </c>
      <c r="W1100" s="17"/>
      <c r="X1100" s="17">
        <v>0.14941827030569099</v>
      </c>
      <c r="Y1100" s="17">
        <v>0.101390573148715</v>
      </c>
    </row>
    <row r="1101" spans="2:25" x14ac:dyDescent="0.35">
      <c r="B1101" t="s">
        <v>432</v>
      </c>
      <c r="C1101" s="17">
        <v>0.37425467527598899</v>
      </c>
      <c r="D1101" s="17">
        <v>0.40387581204086398</v>
      </c>
      <c r="E1101" s="17">
        <v>0.34607056945720399</v>
      </c>
      <c r="F1101" s="17"/>
      <c r="G1101" s="17">
        <v>0.45558808992236</v>
      </c>
      <c r="H1101" s="17">
        <v>0.44931935139118401</v>
      </c>
      <c r="I1101" s="17">
        <v>0.41903363558454998</v>
      </c>
      <c r="J1101" s="17">
        <v>0.37135438971854501</v>
      </c>
      <c r="K1101" s="17">
        <v>0.31360949830094598</v>
      </c>
      <c r="L1101" s="17">
        <v>0.31272570342427097</v>
      </c>
      <c r="M1101" s="17"/>
      <c r="N1101" s="17">
        <v>0.37234171060945898</v>
      </c>
      <c r="O1101" s="17">
        <v>0.332367377869348</v>
      </c>
      <c r="P1101" s="17">
        <v>0.43043667586357398</v>
      </c>
      <c r="Q1101" s="17">
        <v>0.35717729126720699</v>
      </c>
      <c r="R1101" s="17">
        <v>0.36739421072411999</v>
      </c>
      <c r="S1101" s="17">
        <v>0.35352211514985699</v>
      </c>
      <c r="T1101" s="17">
        <v>0.42975616198046102</v>
      </c>
      <c r="U1101" s="17">
        <v>0.34588350823882302</v>
      </c>
      <c r="V1101" s="17">
        <v>0.300275680290021</v>
      </c>
      <c r="W1101" s="17"/>
      <c r="X1101" s="17">
        <v>0.43145251220278702</v>
      </c>
      <c r="Y1101" s="17">
        <v>0.34260330696677799</v>
      </c>
    </row>
    <row r="1102" spans="2:25" x14ac:dyDescent="0.35">
      <c r="B1102" t="s">
        <v>433</v>
      </c>
      <c r="C1102" s="17">
        <v>0.43664616757637198</v>
      </c>
      <c r="D1102" s="17">
        <v>0.40630608125622902</v>
      </c>
      <c r="E1102" s="17">
        <v>0.46553529620885398</v>
      </c>
      <c r="F1102" s="17"/>
      <c r="G1102" s="17">
        <v>0.25704489097071598</v>
      </c>
      <c r="H1102" s="17">
        <v>0.28219609818124097</v>
      </c>
      <c r="I1102" s="17">
        <v>0.39072028968794598</v>
      </c>
      <c r="J1102" s="17">
        <v>0.46503867943362798</v>
      </c>
      <c r="K1102" s="17">
        <v>0.52781510154984101</v>
      </c>
      <c r="L1102" s="17">
        <v>0.54496444278496103</v>
      </c>
      <c r="M1102" s="17"/>
      <c r="N1102" s="17">
        <v>0.38810237562217498</v>
      </c>
      <c r="O1102" s="17">
        <v>0.52197123630512998</v>
      </c>
      <c r="P1102" s="17">
        <v>0.36306820960793201</v>
      </c>
      <c r="Q1102" s="17">
        <v>0.48502712028540801</v>
      </c>
      <c r="R1102" s="17">
        <v>0.49536088348707302</v>
      </c>
      <c r="S1102" s="17">
        <v>0.477147657843911</v>
      </c>
      <c r="T1102" s="17">
        <v>0.35633512922594801</v>
      </c>
      <c r="U1102" s="17">
        <v>0.41153793040528303</v>
      </c>
      <c r="V1102" s="17">
        <v>0.49777970235264501</v>
      </c>
      <c r="W1102" s="17"/>
      <c r="X1102" s="17">
        <v>0.37867990118057798</v>
      </c>
      <c r="Y1102" s="17">
        <v>0.468722759031242</v>
      </c>
    </row>
    <row r="1103" spans="2:25" x14ac:dyDescent="0.35">
      <c r="B1103" t="s">
        <v>434</v>
      </c>
      <c r="C1103" s="17">
        <v>7.0599344499022706E-2</v>
      </c>
      <c r="D1103" s="17">
        <v>5.9434815917644497E-2</v>
      </c>
      <c r="E1103" s="17">
        <v>8.1392135319174497E-2</v>
      </c>
      <c r="F1103" s="17"/>
      <c r="G1103" s="17">
        <v>4.6544577995653702E-2</v>
      </c>
      <c r="H1103" s="17">
        <v>5.90090700770904E-2</v>
      </c>
      <c r="I1103" s="17">
        <v>5.3215451679185802E-2</v>
      </c>
      <c r="J1103" s="17">
        <v>6.9395573628107707E-2</v>
      </c>
      <c r="K1103" s="17">
        <v>8.7279405929665196E-2</v>
      </c>
      <c r="L1103" s="17">
        <v>8.7406916163643794E-2</v>
      </c>
      <c r="M1103" s="17"/>
      <c r="N1103" s="17">
        <v>0.10824008816370401</v>
      </c>
      <c r="O1103" s="17">
        <v>7.5281251705725596E-2</v>
      </c>
      <c r="P1103" s="17">
        <v>7.2906410421115897E-2</v>
      </c>
      <c r="Q1103" s="17">
        <v>5.1267057472741198E-2</v>
      </c>
      <c r="R1103" s="17">
        <v>4.0634709008954398E-2</v>
      </c>
      <c r="S1103" s="17">
        <v>7.6840412572510397E-2</v>
      </c>
      <c r="T1103" s="17">
        <v>6.8307700546767602E-2</v>
      </c>
      <c r="U1103" s="17">
        <v>9.9240738571783393E-2</v>
      </c>
      <c r="V1103" s="17">
        <v>8.4239938038648002E-2</v>
      </c>
      <c r="W1103" s="17"/>
      <c r="X1103" s="17">
        <v>4.0449316310944297E-2</v>
      </c>
      <c r="Y1103" s="17">
        <v>8.7283360853265005E-2</v>
      </c>
    </row>
    <row r="1104" spans="2:25" x14ac:dyDescent="0.35">
      <c r="C1104" s="17"/>
      <c r="D1104" s="17"/>
      <c r="E1104" s="17"/>
      <c r="F1104" s="17"/>
      <c r="G1104" s="17"/>
      <c r="H1104" s="17"/>
      <c r="I1104" s="17"/>
      <c r="J1104" s="17"/>
      <c r="K1104" s="17"/>
      <c r="L1104" s="17"/>
      <c r="M1104" s="17"/>
      <c r="N1104" s="17"/>
      <c r="O1104" s="17"/>
      <c r="P1104" s="17"/>
      <c r="Q1104" s="17"/>
      <c r="R1104" s="17"/>
      <c r="S1104" s="17"/>
      <c r="T1104" s="17"/>
      <c r="U1104" s="17"/>
      <c r="V1104" s="17"/>
      <c r="W1104" s="17"/>
      <c r="X1104" s="17"/>
      <c r="Y1104" s="17"/>
    </row>
    <row r="1105" spans="2:25" x14ac:dyDescent="0.35">
      <c r="B1105" s="6" t="s">
        <v>442</v>
      </c>
      <c r="C1105" s="17"/>
      <c r="D1105" s="17"/>
      <c r="E1105" s="17"/>
      <c r="F1105" s="17"/>
      <c r="G1105" s="17"/>
      <c r="H1105" s="17"/>
      <c r="I1105" s="17"/>
      <c r="J1105" s="17"/>
      <c r="K1105" s="17"/>
      <c r="L1105" s="17"/>
      <c r="M1105" s="17"/>
      <c r="N1105" s="17"/>
      <c r="O1105" s="17"/>
      <c r="P1105" s="17"/>
      <c r="Q1105" s="17"/>
      <c r="R1105" s="17"/>
      <c r="S1105" s="17"/>
      <c r="T1105" s="17"/>
      <c r="U1105" s="17"/>
      <c r="V1105" s="17"/>
      <c r="W1105" s="17"/>
      <c r="X1105" s="17"/>
      <c r="Y1105" s="17"/>
    </row>
    <row r="1106" spans="2:25" x14ac:dyDescent="0.35">
      <c r="B1106" s="24" t="s">
        <v>50</v>
      </c>
      <c r="C1106" s="17"/>
      <c r="D1106" s="17"/>
      <c r="E1106" s="17"/>
      <c r="F1106" s="17"/>
      <c r="G1106" s="17"/>
      <c r="H1106" s="17"/>
      <c r="I1106" s="17"/>
      <c r="J1106" s="17"/>
      <c r="K1106" s="17"/>
      <c r="L1106" s="17"/>
      <c r="M1106" s="17"/>
      <c r="N1106" s="17"/>
      <c r="O1106" s="17"/>
      <c r="P1106" s="17"/>
      <c r="Q1106" s="17"/>
      <c r="R1106" s="17"/>
      <c r="S1106" s="17"/>
      <c r="T1106" s="17"/>
      <c r="U1106" s="17"/>
      <c r="V1106" s="17"/>
      <c r="W1106" s="17"/>
      <c r="X1106" s="17"/>
      <c r="Y1106" s="17"/>
    </row>
    <row r="1107" spans="2:25" x14ac:dyDescent="0.35">
      <c r="B1107" t="s">
        <v>431</v>
      </c>
      <c r="C1107" s="17">
        <v>6.4976017167761399E-2</v>
      </c>
      <c r="D1107" s="17">
        <v>9.4597120873781096E-2</v>
      </c>
      <c r="E1107" s="17">
        <v>3.7350688269757903E-2</v>
      </c>
      <c r="F1107" s="17"/>
      <c r="G1107" s="17">
        <v>0.17213539108220299</v>
      </c>
      <c r="H1107" s="17">
        <v>0.119450259983202</v>
      </c>
      <c r="I1107" s="17">
        <v>7.9723989606756404E-2</v>
      </c>
      <c r="J1107" s="17">
        <v>4.3769393282134701E-2</v>
      </c>
      <c r="K1107" s="17">
        <v>2.6446538845997101E-2</v>
      </c>
      <c r="L1107" s="17">
        <v>2.3241320014207398E-2</v>
      </c>
      <c r="M1107" s="17"/>
      <c r="N1107" s="17">
        <v>6.3173397497148606E-2</v>
      </c>
      <c r="O1107" s="17">
        <v>2.26129771625708E-2</v>
      </c>
      <c r="P1107" s="17">
        <v>7.7321895825133102E-2</v>
      </c>
      <c r="Q1107" s="17">
        <v>5.5557186567977597E-2</v>
      </c>
      <c r="R1107" s="17">
        <v>3.9929156616700601E-2</v>
      </c>
      <c r="S1107" s="17">
        <v>7.3192103879513901E-2</v>
      </c>
      <c r="T1107" s="17">
        <v>6.31202669760388E-2</v>
      </c>
      <c r="U1107" s="17">
        <v>8.0984459745417403E-2</v>
      </c>
      <c r="V1107" s="17">
        <v>8.6022587182671001E-2</v>
      </c>
      <c r="W1107" s="17"/>
      <c r="X1107" s="17">
        <v>9.9074851900483096E-2</v>
      </c>
      <c r="Y1107" s="17">
        <v>4.61068634544562E-2</v>
      </c>
    </row>
    <row r="1108" spans="2:25" x14ac:dyDescent="0.35">
      <c r="B1108" t="s">
        <v>432</v>
      </c>
      <c r="C1108" s="17">
        <v>0.29264720640063402</v>
      </c>
      <c r="D1108" s="17">
        <v>0.35093147353173398</v>
      </c>
      <c r="E1108" s="17">
        <v>0.23665819867275401</v>
      </c>
      <c r="F1108" s="17"/>
      <c r="G1108" s="17">
        <v>0.35518089126111502</v>
      </c>
      <c r="H1108" s="17">
        <v>0.37410126161159002</v>
      </c>
      <c r="I1108" s="17">
        <v>0.31364568249354402</v>
      </c>
      <c r="J1108" s="17">
        <v>0.28387896343450503</v>
      </c>
      <c r="K1108" s="17">
        <v>0.25573687082945401</v>
      </c>
      <c r="L1108" s="17">
        <v>0.23797326095802099</v>
      </c>
      <c r="M1108" s="17"/>
      <c r="N1108" s="17">
        <v>0.26970794314091201</v>
      </c>
      <c r="O1108" s="17">
        <v>0.232041937930514</v>
      </c>
      <c r="P1108" s="17">
        <v>0.37328231103621901</v>
      </c>
      <c r="Q1108" s="17">
        <v>0.29512629199124402</v>
      </c>
      <c r="R1108" s="17">
        <v>0.188011455182616</v>
      </c>
      <c r="S1108" s="17">
        <v>0.34162592632469202</v>
      </c>
      <c r="T1108" s="17">
        <v>0.299370745453656</v>
      </c>
      <c r="U1108" s="17">
        <v>0.276119088820375</v>
      </c>
      <c r="V1108" s="17">
        <v>0.290865962232354</v>
      </c>
      <c r="W1108" s="17"/>
      <c r="X1108" s="17">
        <v>0.35335449193268897</v>
      </c>
      <c r="Y1108" s="17">
        <v>0.25905382670890398</v>
      </c>
    </row>
    <row r="1109" spans="2:25" x14ac:dyDescent="0.35">
      <c r="B1109" t="s">
        <v>433</v>
      </c>
      <c r="C1109" s="17">
        <v>0.52585805078883496</v>
      </c>
      <c r="D1109" s="17">
        <v>0.47367096619014398</v>
      </c>
      <c r="E1109" s="17">
        <v>0.57538093223637898</v>
      </c>
      <c r="F1109" s="17"/>
      <c r="G1109" s="17">
        <v>0.38889398264358499</v>
      </c>
      <c r="H1109" s="17">
        <v>0.41614443655217997</v>
      </c>
      <c r="I1109" s="17">
        <v>0.51999816711423996</v>
      </c>
      <c r="J1109" s="17">
        <v>0.56331294750121796</v>
      </c>
      <c r="K1109" s="17">
        <v>0.58315954909166801</v>
      </c>
      <c r="L1109" s="17">
        <v>0.58222470989141195</v>
      </c>
      <c r="M1109" s="17"/>
      <c r="N1109" s="17">
        <v>0.52266004397361698</v>
      </c>
      <c r="O1109" s="17">
        <v>0.66106045621713605</v>
      </c>
      <c r="P1109" s="17">
        <v>0.43357128231686798</v>
      </c>
      <c r="Q1109" s="17">
        <v>0.58168858765522902</v>
      </c>
      <c r="R1109" s="17">
        <v>0.66235214359555095</v>
      </c>
      <c r="S1109" s="17">
        <v>0.49357385282913702</v>
      </c>
      <c r="T1109" s="17">
        <v>0.503415993176626</v>
      </c>
      <c r="U1109" s="17">
        <v>0.45811399576454198</v>
      </c>
      <c r="V1109" s="17">
        <v>0.51721191945866496</v>
      </c>
      <c r="W1109" s="17"/>
      <c r="X1109" s="17">
        <v>0.47788948982742002</v>
      </c>
      <c r="Y1109" s="17">
        <v>0.55240224672050497</v>
      </c>
    </row>
    <row r="1110" spans="2:25" x14ac:dyDescent="0.35">
      <c r="B1110" t="s">
        <v>434</v>
      </c>
      <c r="C1110" s="17">
        <v>0.11651872564276999</v>
      </c>
      <c r="D1110" s="17">
        <v>8.0800439404341395E-2</v>
      </c>
      <c r="E1110" s="17">
        <v>0.150610180821109</v>
      </c>
      <c r="F1110" s="17"/>
      <c r="G1110" s="17">
        <v>8.3789735013097305E-2</v>
      </c>
      <c r="H1110" s="17">
        <v>9.0304041853028802E-2</v>
      </c>
      <c r="I1110" s="17">
        <v>8.6632160785459905E-2</v>
      </c>
      <c r="J1110" s="17">
        <v>0.10903869578214199</v>
      </c>
      <c r="K1110" s="17">
        <v>0.134657041232881</v>
      </c>
      <c r="L1110" s="17">
        <v>0.156560709136359</v>
      </c>
      <c r="M1110" s="17"/>
      <c r="N1110" s="17">
        <v>0.144458615388322</v>
      </c>
      <c r="O1110" s="17">
        <v>8.4284628689778499E-2</v>
      </c>
      <c r="P1110" s="17">
        <v>0.115824510821779</v>
      </c>
      <c r="Q1110" s="17">
        <v>6.7627933785549404E-2</v>
      </c>
      <c r="R1110" s="17">
        <v>0.10970724460513299</v>
      </c>
      <c r="S1110" s="17">
        <v>9.1608116966657605E-2</v>
      </c>
      <c r="T1110" s="17">
        <v>0.13409299439368</v>
      </c>
      <c r="U1110" s="17">
        <v>0.184782455669666</v>
      </c>
      <c r="V1110" s="17">
        <v>0.10589953112631</v>
      </c>
      <c r="W1110" s="17"/>
      <c r="X1110" s="17">
        <v>6.9681166339408795E-2</v>
      </c>
      <c r="Y1110" s="17">
        <v>0.14243706311613499</v>
      </c>
    </row>
    <row r="1111" spans="2:25" x14ac:dyDescent="0.35">
      <c r="C1111" s="17"/>
      <c r="D1111" s="17"/>
      <c r="E1111" s="17"/>
      <c r="F1111" s="17"/>
      <c r="G1111" s="17"/>
      <c r="H1111" s="17"/>
      <c r="I1111" s="17"/>
      <c r="J1111" s="17"/>
      <c r="K1111" s="17"/>
      <c r="L1111" s="17"/>
      <c r="M1111" s="17"/>
      <c r="N1111" s="17"/>
      <c r="O1111" s="17"/>
      <c r="P1111" s="17"/>
      <c r="Q1111" s="17"/>
      <c r="R1111" s="17"/>
      <c r="S1111" s="17"/>
      <c r="T1111" s="17"/>
      <c r="U1111" s="17"/>
      <c r="V1111" s="17"/>
      <c r="W1111" s="17"/>
      <c r="X1111" s="17"/>
      <c r="Y1111" s="17"/>
    </row>
    <row r="1112" spans="2:25" x14ac:dyDescent="0.35">
      <c r="B1112" s="6" t="s">
        <v>443</v>
      </c>
      <c r="C1112" s="17"/>
      <c r="D1112" s="17"/>
      <c r="E1112" s="17"/>
      <c r="F1112" s="17"/>
      <c r="G1112" s="17"/>
      <c r="H1112" s="17"/>
      <c r="I1112" s="17"/>
      <c r="J1112" s="17"/>
      <c r="K1112" s="17"/>
      <c r="L1112" s="17"/>
      <c r="M1112" s="17"/>
      <c r="N1112" s="17"/>
      <c r="O1112" s="17"/>
      <c r="P1112" s="17"/>
      <c r="Q1112" s="17"/>
      <c r="R1112" s="17"/>
      <c r="S1112" s="17"/>
      <c r="T1112" s="17"/>
      <c r="U1112" s="17"/>
      <c r="V1112" s="17"/>
      <c r="W1112" s="17"/>
      <c r="X1112" s="17"/>
      <c r="Y1112" s="17"/>
    </row>
    <row r="1113" spans="2:25" x14ac:dyDescent="0.35">
      <c r="B1113" s="24" t="s">
        <v>50</v>
      </c>
      <c r="C1113" s="17"/>
      <c r="D1113" s="17"/>
      <c r="E1113" s="17"/>
      <c r="F1113" s="17"/>
      <c r="G1113" s="17"/>
      <c r="H1113" s="17"/>
      <c r="I1113" s="17"/>
      <c r="J1113" s="17"/>
      <c r="K1113" s="17"/>
      <c r="L1113" s="17"/>
      <c r="M1113" s="17"/>
      <c r="N1113" s="17"/>
      <c r="O1113" s="17"/>
      <c r="P1113" s="17"/>
      <c r="Q1113" s="17"/>
      <c r="R1113" s="17"/>
      <c r="S1113" s="17"/>
      <c r="T1113" s="17"/>
      <c r="U1113" s="17"/>
      <c r="V1113" s="17"/>
      <c r="W1113" s="17"/>
      <c r="X1113" s="17"/>
      <c r="Y1113" s="17"/>
    </row>
    <row r="1114" spans="2:25" x14ac:dyDescent="0.35">
      <c r="B1114" t="s">
        <v>431</v>
      </c>
      <c r="C1114" s="17">
        <v>7.7755466951947197E-2</v>
      </c>
      <c r="D1114" s="17">
        <v>0.10719302014943</v>
      </c>
      <c r="E1114" s="17">
        <v>4.9483165122462099E-2</v>
      </c>
      <c r="F1114" s="17"/>
      <c r="G1114" s="17">
        <v>0.201640028542447</v>
      </c>
      <c r="H1114" s="17">
        <v>0.15591626343616399</v>
      </c>
      <c r="I1114" s="17">
        <v>9.7664501477773502E-2</v>
      </c>
      <c r="J1114" s="17">
        <v>5.5835692213288497E-2</v>
      </c>
      <c r="K1114" s="17">
        <v>3.4603321209371797E-2</v>
      </c>
      <c r="L1114" s="17">
        <v>1.59939444530822E-2</v>
      </c>
      <c r="M1114" s="17"/>
      <c r="N1114" s="17">
        <v>9.5975675579512296E-2</v>
      </c>
      <c r="O1114" s="17">
        <v>1.34644461664784E-2</v>
      </c>
      <c r="P1114" s="17">
        <v>0.118721404282726</v>
      </c>
      <c r="Q1114" s="17">
        <v>5.8932407296244597E-2</v>
      </c>
      <c r="R1114" s="17">
        <v>6.7037225102736506E-2</v>
      </c>
      <c r="S1114" s="17">
        <v>5.6848443129226399E-2</v>
      </c>
      <c r="T1114" s="17">
        <v>6.6290952363355304E-2</v>
      </c>
      <c r="U1114" s="17">
        <v>0.100915072620788</v>
      </c>
      <c r="V1114" s="17">
        <v>9.4665962662287204E-2</v>
      </c>
      <c r="W1114" s="17"/>
      <c r="X1114" s="17">
        <v>0.112453203049256</v>
      </c>
      <c r="Y1114" s="17">
        <v>5.8554901271163202E-2</v>
      </c>
    </row>
    <row r="1115" spans="2:25" x14ac:dyDescent="0.35">
      <c r="B1115" t="s">
        <v>432</v>
      </c>
      <c r="C1115" s="17">
        <v>0.25254514600153599</v>
      </c>
      <c r="D1115" s="17">
        <v>0.30029997156342197</v>
      </c>
      <c r="E1115" s="17">
        <v>0.207213988197367</v>
      </c>
      <c r="F1115" s="17"/>
      <c r="G1115" s="17">
        <v>0.360068801987033</v>
      </c>
      <c r="H1115" s="17">
        <v>0.35990416251873197</v>
      </c>
      <c r="I1115" s="17">
        <v>0.328531554106612</v>
      </c>
      <c r="J1115" s="17">
        <v>0.23221032583621401</v>
      </c>
      <c r="K1115" s="17">
        <v>0.19914989285042001</v>
      </c>
      <c r="L1115" s="17">
        <v>0.14927552524458201</v>
      </c>
      <c r="M1115" s="17"/>
      <c r="N1115" s="17">
        <v>0.203160636774984</v>
      </c>
      <c r="O1115" s="17">
        <v>0.10555614142438099</v>
      </c>
      <c r="P1115" s="17">
        <v>0.36190400740711798</v>
      </c>
      <c r="Q1115" s="17">
        <v>0.21740834092620201</v>
      </c>
      <c r="R1115" s="17">
        <v>0.24615476235035799</v>
      </c>
      <c r="S1115" s="17">
        <v>0.205811690098327</v>
      </c>
      <c r="T1115" s="17">
        <v>0.230849580331836</v>
      </c>
      <c r="U1115" s="17">
        <v>0.282600467605295</v>
      </c>
      <c r="V1115" s="17">
        <v>0.27777684184014101</v>
      </c>
      <c r="W1115" s="17"/>
      <c r="X1115" s="17">
        <v>0.30944051717707599</v>
      </c>
      <c r="Y1115" s="17">
        <v>0.221061152114301</v>
      </c>
    </row>
    <row r="1116" spans="2:25" x14ac:dyDescent="0.35">
      <c r="B1116" t="s">
        <v>433</v>
      </c>
      <c r="C1116" s="17">
        <v>0.46172314741354797</v>
      </c>
      <c r="D1116" s="17">
        <v>0.43048557856318598</v>
      </c>
      <c r="E1116" s="17">
        <v>0.491542105407904</v>
      </c>
      <c r="F1116" s="17"/>
      <c r="G1116" s="17">
        <v>0.32295229755545501</v>
      </c>
      <c r="H1116" s="17">
        <v>0.345199308426624</v>
      </c>
      <c r="I1116" s="17">
        <v>0.42691725855267698</v>
      </c>
      <c r="J1116" s="17">
        <v>0.51208378769740803</v>
      </c>
      <c r="K1116" s="17">
        <v>0.53514194035907403</v>
      </c>
      <c r="L1116" s="17">
        <v>0.52193339561084795</v>
      </c>
      <c r="M1116" s="17"/>
      <c r="N1116" s="17">
        <v>0.30219433060759998</v>
      </c>
      <c r="O1116" s="17">
        <v>0.49933032548322098</v>
      </c>
      <c r="P1116" s="17">
        <v>0.41176579588354401</v>
      </c>
      <c r="Q1116" s="17">
        <v>0.50994079239785395</v>
      </c>
      <c r="R1116" s="17">
        <v>0.57871659147290599</v>
      </c>
      <c r="S1116" s="17">
        <v>0.411452035657214</v>
      </c>
      <c r="T1116" s="17">
        <v>0.44753629593507999</v>
      </c>
      <c r="U1116" s="17">
        <v>0.43290395593755099</v>
      </c>
      <c r="V1116" s="17">
        <v>0.47136363759972799</v>
      </c>
      <c r="W1116" s="17"/>
      <c r="X1116" s="17">
        <v>0.43085334838543998</v>
      </c>
      <c r="Y1116" s="17">
        <v>0.478805460856982</v>
      </c>
    </row>
    <row r="1117" spans="2:25" x14ac:dyDescent="0.35">
      <c r="B1117" t="s">
        <v>434</v>
      </c>
      <c r="C1117" s="17">
        <v>0.20797623963296899</v>
      </c>
      <c r="D1117" s="17">
        <v>0.162021429723962</v>
      </c>
      <c r="E1117" s="17">
        <v>0.251760741272268</v>
      </c>
      <c r="F1117" s="17"/>
      <c r="G1117" s="17">
        <v>0.115338871915066</v>
      </c>
      <c r="H1117" s="17">
        <v>0.13898026561848001</v>
      </c>
      <c r="I1117" s="17">
        <v>0.14688668586293799</v>
      </c>
      <c r="J1117" s="17">
        <v>0.199870194253089</v>
      </c>
      <c r="K1117" s="17">
        <v>0.23110484558113401</v>
      </c>
      <c r="L1117" s="17">
        <v>0.31279713469148801</v>
      </c>
      <c r="M1117" s="17"/>
      <c r="N1117" s="17">
        <v>0.39866935703790302</v>
      </c>
      <c r="O1117" s="17">
        <v>0.38164908692591898</v>
      </c>
      <c r="P1117" s="17">
        <v>0.10760879242661101</v>
      </c>
      <c r="Q1117" s="17">
        <v>0.21371845937969899</v>
      </c>
      <c r="R1117" s="17">
        <v>0.10809142107399899</v>
      </c>
      <c r="S1117" s="17">
        <v>0.32588783111523201</v>
      </c>
      <c r="T1117" s="17">
        <v>0.25532317136972899</v>
      </c>
      <c r="U1117" s="17">
        <v>0.18358050383636501</v>
      </c>
      <c r="V1117" s="17">
        <v>0.156193557897844</v>
      </c>
      <c r="W1117" s="17"/>
      <c r="X1117" s="17">
        <v>0.14725293138822801</v>
      </c>
      <c r="Y1117" s="17">
        <v>0.241578485757554</v>
      </c>
    </row>
    <row r="1118" spans="2:25" x14ac:dyDescent="0.35">
      <c r="C1118" s="17"/>
      <c r="D1118" s="17"/>
      <c r="E1118" s="17"/>
      <c r="F1118" s="17"/>
      <c r="G1118" s="17"/>
      <c r="H1118" s="17"/>
      <c r="I1118" s="17"/>
      <c r="J1118" s="17"/>
      <c r="K1118" s="17"/>
      <c r="L1118" s="17"/>
      <c r="M1118" s="17"/>
      <c r="N1118" s="17"/>
      <c r="O1118" s="17"/>
      <c r="P1118" s="17"/>
      <c r="Q1118" s="17"/>
      <c r="R1118" s="17"/>
      <c r="S1118" s="17"/>
      <c r="T1118" s="17"/>
      <c r="U1118" s="17"/>
      <c r="V1118" s="17"/>
      <c r="W1118" s="17"/>
      <c r="X1118" s="17"/>
      <c r="Y1118" s="17"/>
    </row>
    <row r="1119" spans="2:25" x14ac:dyDescent="0.35">
      <c r="B1119" s="6" t="s">
        <v>444</v>
      </c>
      <c r="C1119" s="17"/>
      <c r="D1119" s="17"/>
      <c r="E1119" s="17"/>
      <c r="F1119" s="17"/>
      <c r="G1119" s="17"/>
      <c r="H1119" s="17"/>
      <c r="I1119" s="17"/>
      <c r="J1119" s="17"/>
      <c r="K1119" s="17"/>
      <c r="L1119" s="17"/>
      <c r="M1119" s="17"/>
      <c r="N1119" s="17"/>
      <c r="O1119" s="17"/>
      <c r="P1119" s="17"/>
      <c r="Q1119" s="17"/>
      <c r="R1119" s="17"/>
      <c r="S1119" s="17"/>
      <c r="T1119" s="17"/>
      <c r="U1119" s="17"/>
      <c r="V1119" s="17"/>
      <c r="W1119" s="17"/>
      <c r="X1119" s="17"/>
      <c r="Y1119" s="17"/>
    </row>
    <row r="1120" spans="2:25" x14ac:dyDescent="0.35">
      <c r="B1120" s="24" t="s">
        <v>50</v>
      </c>
      <c r="C1120" s="17"/>
      <c r="D1120" s="17"/>
      <c r="E1120" s="17"/>
      <c r="F1120" s="17"/>
      <c r="G1120" s="17"/>
      <c r="H1120" s="17"/>
      <c r="I1120" s="17"/>
      <c r="J1120" s="17"/>
      <c r="K1120" s="17"/>
      <c r="L1120" s="17"/>
      <c r="M1120" s="17"/>
      <c r="N1120" s="17"/>
      <c r="O1120" s="17"/>
      <c r="P1120" s="17"/>
      <c r="Q1120" s="17"/>
      <c r="R1120" s="17"/>
      <c r="S1120" s="17"/>
      <c r="T1120" s="17"/>
      <c r="U1120" s="17"/>
      <c r="V1120" s="17"/>
      <c r="W1120" s="17"/>
      <c r="X1120" s="17"/>
      <c r="Y1120" s="17"/>
    </row>
    <row r="1121" spans="2:25" x14ac:dyDescent="0.35">
      <c r="B1121" t="s">
        <v>431</v>
      </c>
      <c r="C1121" s="17">
        <v>6.2803702084351098E-2</v>
      </c>
      <c r="D1121" s="17">
        <v>8.5041509409422206E-2</v>
      </c>
      <c r="E1121" s="17">
        <v>4.1591778134510898E-2</v>
      </c>
      <c r="F1121" s="17"/>
      <c r="G1121" s="17">
        <v>0.12756908725079</v>
      </c>
      <c r="H1121" s="17">
        <v>0.112809273004782</v>
      </c>
      <c r="I1121" s="17">
        <v>7.8169335425971903E-2</v>
      </c>
      <c r="J1121" s="17">
        <v>5.4600671037742202E-2</v>
      </c>
      <c r="K1121" s="17">
        <v>3.58789845393764E-2</v>
      </c>
      <c r="L1121" s="17">
        <v>2.2570505227085501E-2</v>
      </c>
      <c r="M1121" s="17"/>
      <c r="N1121" s="17">
        <v>6.7852790164153298E-2</v>
      </c>
      <c r="O1121" s="17">
        <v>5.5464562840715402E-2</v>
      </c>
      <c r="P1121" s="17">
        <v>7.7547682209384003E-2</v>
      </c>
      <c r="Q1121" s="17">
        <v>5.3328551055391402E-2</v>
      </c>
      <c r="R1121" s="17">
        <v>4.7290535077133697E-2</v>
      </c>
      <c r="S1121" s="17">
        <v>5.0389709098342901E-2</v>
      </c>
      <c r="T1121" s="17">
        <v>6.6734286611852406E-2</v>
      </c>
      <c r="U1121" s="17">
        <v>8.4090131070668803E-2</v>
      </c>
      <c r="V1121" s="17">
        <v>5.7355294842591699E-2</v>
      </c>
      <c r="W1121" s="17"/>
      <c r="X1121" s="17">
        <v>9.81937238391625E-2</v>
      </c>
      <c r="Y1121" s="17">
        <v>4.3220048694344197E-2</v>
      </c>
    </row>
    <row r="1122" spans="2:25" x14ac:dyDescent="0.35">
      <c r="B1122" t="s">
        <v>432</v>
      </c>
      <c r="C1122" s="17">
        <v>0.22706005138319901</v>
      </c>
      <c r="D1122" s="17">
        <v>0.274131423103327</v>
      </c>
      <c r="E1122" s="17">
        <v>0.18224138734773199</v>
      </c>
      <c r="F1122" s="17"/>
      <c r="G1122" s="17">
        <v>0.34653531260873699</v>
      </c>
      <c r="H1122" s="17">
        <v>0.32122033072955403</v>
      </c>
      <c r="I1122" s="17">
        <v>0.27338614195989203</v>
      </c>
      <c r="J1122" s="17">
        <v>0.22135912337427699</v>
      </c>
      <c r="K1122" s="17">
        <v>0.164624377749581</v>
      </c>
      <c r="L1122" s="17">
        <v>0.14213235008707201</v>
      </c>
      <c r="M1122" s="17"/>
      <c r="N1122" s="17">
        <v>0.25757852270877601</v>
      </c>
      <c r="O1122" s="17">
        <v>0.152399897671877</v>
      </c>
      <c r="P1122" s="17">
        <v>0.26887550976135099</v>
      </c>
      <c r="Q1122" s="17">
        <v>0.23774608832184099</v>
      </c>
      <c r="R1122" s="17">
        <v>0.19532395340790701</v>
      </c>
      <c r="S1122" s="17">
        <v>0.22029592389934</v>
      </c>
      <c r="T1122" s="17">
        <v>0.23809432156985799</v>
      </c>
      <c r="U1122" s="17">
        <v>0.22204803000969001</v>
      </c>
      <c r="V1122" s="17">
        <v>0.19894510522095901</v>
      </c>
      <c r="W1122" s="17"/>
      <c r="X1122" s="17">
        <v>0.30029680456358299</v>
      </c>
      <c r="Y1122" s="17">
        <v>0.18653328370753</v>
      </c>
    </row>
    <row r="1123" spans="2:25" x14ac:dyDescent="0.35">
      <c r="B1123" t="s">
        <v>433</v>
      </c>
      <c r="C1123" s="17">
        <v>0.51699657565036705</v>
      </c>
      <c r="D1123" s="17">
        <v>0.48638987238443898</v>
      </c>
      <c r="E1123" s="17">
        <v>0.54581979877365705</v>
      </c>
      <c r="F1123" s="17"/>
      <c r="G1123" s="17">
        <v>0.394516983223061</v>
      </c>
      <c r="H1123" s="17">
        <v>0.43004830954283502</v>
      </c>
      <c r="I1123" s="17">
        <v>0.494666124708595</v>
      </c>
      <c r="J1123" s="17">
        <v>0.55623195596180797</v>
      </c>
      <c r="K1123" s="17">
        <v>0.57461889330023797</v>
      </c>
      <c r="L1123" s="17">
        <v>0.56363336841648204</v>
      </c>
      <c r="M1123" s="17"/>
      <c r="N1123" s="17">
        <v>0.40813418740434299</v>
      </c>
      <c r="O1123" s="17">
        <v>0.56923701854326403</v>
      </c>
      <c r="P1123" s="17">
        <v>0.453852813979085</v>
      </c>
      <c r="Q1123" s="17">
        <v>0.59396496700478496</v>
      </c>
      <c r="R1123" s="17">
        <v>0.61140686896177798</v>
      </c>
      <c r="S1123" s="17">
        <v>0.52696002686483301</v>
      </c>
      <c r="T1123" s="17">
        <v>0.48114118244047499</v>
      </c>
      <c r="U1123" s="17">
        <v>0.450199585798576</v>
      </c>
      <c r="V1123" s="17">
        <v>0.50964070888567203</v>
      </c>
      <c r="W1123" s="17"/>
      <c r="X1123" s="17">
        <v>0.45539316381991601</v>
      </c>
      <c r="Y1123" s="17">
        <v>0.55108584163860896</v>
      </c>
    </row>
    <row r="1124" spans="2:25" x14ac:dyDescent="0.35">
      <c r="B1124" t="s">
        <v>434</v>
      </c>
      <c r="C1124" s="17">
        <v>0.193139670882083</v>
      </c>
      <c r="D1124" s="17">
        <v>0.15443719510281201</v>
      </c>
      <c r="E1124" s="17">
        <v>0.23034703574410001</v>
      </c>
      <c r="F1124" s="17"/>
      <c r="G1124" s="17">
        <v>0.13137861691741301</v>
      </c>
      <c r="H1124" s="17">
        <v>0.13592208672282899</v>
      </c>
      <c r="I1124" s="17">
        <v>0.15377839790554099</v>
      </c>
      <c r="J1124" s="17">
        <v>0.167808249626173</v>
      </c>
      <c r="K1124" s="17">
        <v>0.22487774441080399</v>
      </c>
      <c r="L1124" s="17">
        <v>0.271663776269361</v>
      </c>
      <c r="M1124" s="17"/>
      <c r="N1124" s="17">
        <v>0.26643449972272698</v>
      </c>
      <c r="O1124" s="17">
        <v>0.222898520944144</v>
      </c>
      <c r="P1124" s="17">
        <v>0.19972399405017999</v>
      </c>
      <c r="Q1124" s="17">
        <v>0.11496039361798301</v>
      </c>
      <c r="R1124" s="17">
        <v>0.14597864255318199</v>
      </c>
      <c r="S1124" s="17">
        <v>0.20235434013748399</v>
      </c>
      <c r="T1124" s="17">
        <v>0.214030209377815</v>
      </c>
      <c r="U1124" s="17">
        <v>0.24366225312106399</v>
      </c>
      <c r="V1124" s="17">
        <v>0.23405889105077701</v>
      </c>
      <c r="W1124" s="17"/>
      <c r="X1124" s="17">
        <v>0.146116307777339</v>
      </c>
      <c r="Y1124" s="17">
        <v>0.219160825959518</v>
      </c>
    </row>
    <row r="1125" spans="2:25" x14ac:dyDescent="0.35">
      <c r="C1125" s="17"/>
      <c r="D1125" s="17"/>
      <c r="E1125" s="17"/>
      <c r="F1125" s="17"/>
      <c r="G1125" s="17"/>
      <c r="H1125" s="17"/>
      <c r="I1125" s="17"/>
      <c r="J1125" s="17"/>
      <c r="K1125" s="17"/>
      <c r="L1125" s="17"/>
      <c r="M1125" s="17"/>
      <c r="N1125" s="17"/>
      <c r="O1125" s="17"/>
      <c r="P1125" s="17"/>
      <c r="Q1125" s="17"/>
      <c r="R1125" s="17"/>
      <c r="S1125" s="17"/>
      <c r="T1125" s="17"/>
      <c r="U1125" s="17"/>
      <c r="V1125" s="17"/>
      <c r="W1125" s="17"/>
      <c r="X1125" s="17"/>
      <c r="Y1125" s="17"/>
    </row>
    <row r="1126" spans="2:25" x14ac:dyDescent="0.35">
      <c r="B1126" s="6" t="s">
        <v>445</v>
      </c>
      <c r="C1126" s="17"/>
      <c r="D1126" s="17"/>
      <c r="E1126" s="17"/>
      <c r="F1126" s="17"/>
      <c r="G1126" s="17"/>
      <c r="H1126" s="17"/>
      <c r="I1126" s="17"/>
      <c r="J1126" s="17"/>
      <c r="K1126" s="17"/>
      <c r="L1126" s="17"/>
      <c r="M1126" s="17"/>
      <c r="N1126" s="17"/>
      <c r="O1126" s="17"/>
      <c r="P1126" s="17"/>
      <c r="Q1126" s="17"/>
      <c r="R1126" s="17"/>
      <c r="S1126" s="17"/>
      <c r="T1126" s="17"/>
      <c r="U1126" s="17"/>
      <c r="V1126" s="17"/>
      <c r="W1126" s="17"/>
      <c r="X1126" s="17"/>
      <c r="Y1126" s="17"/>
    </row>
    <row r="1127" spans="2:25" x14ac:dyDescent="0.35">
      <c r="B1127" s="24" t="s">
        <v>50</v>
      </c>
      <c r="C1127" s="17"/>
      <c r="D1127" s="17"/>
      <c r="E1127" s="17"/>
      <c r="F1127" s="17"/>
      <c r="G1127" s="17"/>
      <c r="H1127" s="17"/>
      <c r="I1127" s="17"/>
      <c r="J1127" s="17"/>
      <c r="K1127" s="17"/>
      <c r="L1127" s="17"/>
      <c r="M1127" s="17"/>
      <c r="N1127" s="17"/>
      <c r="O1127" s="17"/>
      <c r="P1127" s="17"/>
      <c r="Q1127" s="17"/>
      <c r="R1127" s="17"/>
      <c r="S1127" s="17"/>
      <c r="T1127" s="17"/>
      <c r="U1127" s="17"/>
      <c r="V1127" s="17"/>
      <c r="W1127" s="17"/>
      <c r="X1127" s="17"/>
      <c r="Y1127" s="17"/>
    </row>
    <row r="1128" spans="2:25" x14ac:dyDescent="0.35">
      <c r="B1128" t="s">
        <v>431</v>
      </c>
      <c r="C1128" s="17">
        <v>5.2948811972871802E-2</v>
      </c>
      <c r="D1128" s="17">
        <v>6.9490986142855496E-2</v>
      </c>
      <c r="E1128" s="17">
        <v>3.7026089123553201E-2</v>
      </c>
      <c r="F1128" s="17"/>
      <c r="G1128" s="17">
        <v>0.106848656267459</v>
      </c>
      <c r="H1128" s="17">
        <v>0.103312659651077</v>
      </c>
      <c r="I1128" s="17">
        <v>7.1523296284862897E-2</v>
      </c>
      <c r="J1128" s="17">
        <v>3.4467264326958902E-2</v>
      </c>
      <c r="K1128" s="17">
        <v>2.0358169554864899E-2</v>
      </c>
      <c r="L1128" s="17">
        <v>2.5242005593261101E-2</v>
      </c>
      <c r="M1128" s="17"/>
      <c r="N1128" s="17">
        <v>5.2448081197251903E-2</v>
      </c>
      <c r="O1128" s="17">
        <v>1.43416167715965E-2</v>
      </c>
      <c r="P1128" s="17">
        <v>5.65887525181554E-2</v>
      </c>
      <c r="Q1128" s="17">
        <v>5.2900449422243499E-2</v>
      </c>
      <c r="R1128" s="17">
        <v>3.6650833497480398E-2</v>
      </c>
      <c r="S1128" s="17">
        <v>5.1215986225062002E-2</v>
      </c>
      <c r="T1128" s="17">
        <v>7.1195179079790505E-2</v>
      </c>
      <c r="U1128" s="17">
        <v>5.5693027850529001E-2</v>
      </c>
      <c r="V1128" s="17">
        <v>5.5945986192790002E-2</v>
      </c>
      <c r="W1128" s="17"/>
      <c r="X1128" s="17">
        <v>7.9916443544966007E-2</v>
      </c>
      <c r="Y1128" s="17">
        <v>3.8025827378054503E-2</v>
      </c>
    </row>
    <row r="1129" spans="2:25" x14ac:dyDescent="0.35">
      <c r="B1129" t="s">
        <v>432</v>
      </c>
      <c r="C1129" s="17">
        <v>0.21042283763852501</v>
      </c>
      <c r="D1129" s="17">
        <v>0.24460101749795299</v>
      </c>
      <c r="E1129" s="17">
        <v>0.178469197105567</v>
      </c>
      <c r="F1129" s="17"/>
      <c r="G1129" s="17">
        <v>0.30076522268536199</v>
      </c>
      <c r="H1129" s="17">
        <v>0.27479032487751298</v>
      </c>
      <c r="I1129" s="17">
        <v>0.23459142609297201</v>
      </c>
      <c r="J1129" s="17">
        <v>0.19213693049794101</v>
      </c>
      <c r="K1129" s="17">
        <v>0.16730007618307599</v>
      </c>
      <c r="L1129" s="17">
        <v>0.16407451544917501</v>
      </c>
      <c r="M1129" s="17"/>
      <c r="N1129" s="17">
        <v>0.18084578666600101</v>
      </c>
      <c r="O1129" s="17">
        <v>0.13961748390213199</v>
      </c>
      <c r="P1129" s="17">
        <v>0.24615604596659199</v>
      </c>
      <c r="Q1129" s="17">
        <v>0.25062336766474602</v>
      </c>
      <c r="R1129" s="17">
        <v>0.13320842655798501</v>
      </c>
      <c r="S1129" s="17">
        <v>0.21815541308526201</v>
      </c>
      <c r="T1129" s="17">
        <v>0.247347833915259</v>
      </c>
      <c r="U1129" s="17">
        <v>0.198823303186619</v>
      </c>
      <c r="V1129" s="17">
        <v>0.182241048361341</v>
      </c>
      <c r="W1129" s="17"/>
      <c r="X1129" s="17">
        <v>0.27089402555289699</v>
      </c>
      <c r="Y1129" s="17">
        <v>0.176960106465267</v>
      </c>
    </row>
    <row r="1130" spans="2:25" x14ac:dyDescent="0.35">
      <c r="B1130" t="s">
        <v>433</v>
      </c>
      <c r="C1130" s="17">
        <v>0.55981614727876206</v>
      </c>
      <c r="D1130" s="17">
        <v>0.54580465835401004</v>
      </c>
      <c r="E1130" s="17">
        <v>0.57242726497853702</v>
      </c>
      <c r="F1130" s="17"/>
      <c r="G1130" s="17">
        <v>0.47431682251257501</v>
      </c>
      <c r="H1130" s="17">
        <v>0.49385491587580899</v>
      </c>
      <c r="I1130" s="17">
        <v>0.53558362718603503</v>
      </c>
      <c r="J1130" s="17">
        <v>0.58570084796078403</v>
      </c>
      <c r="K1130" s="17">
        <v>0.60428177452951704</v>
      </c>
      <c r="L1130" s="17">
        <v>0.59927009407680498</v>
      </c>
      <c r="M1130" s="17"/>
      <c r="N1130" s="17">
        <v>0.539687544761841</v>
      </c>
      <c r="O1130" s="17">
        <v>0.60573629226888404</v>
      </c>
      <c r="P1130" s="17">
        <v>0.49642070553679402</v>
      </c>
      <c r="Q1130" s="17">
        <v>0.59369954665288105</v>
      </c>
      <c r="R1130" s="17">
        <v>0.69678562909192499</v>
      </c>
      <c r="S1130" s="17">
        <v>0.57083266549175304</v>
      </c>
      <c r="T1130" s="17">
        <v>0.51724075321364604</v>
      </c>
      <c r="U1130" s="17">
        <v>0.46906239684141199</v>
      </c>
      <c r="V1130" s="17">
        <v>0.58515305995545197</v>
      </c>
      <c r="W1130" s="17"/>
      <c r="X1130" s="17">
        <v>0.52086400765072804</v>
      </c>
      <c r="Y1130" s="17">
        <v>0.581370957461122</v>
      </c>
    </row>
    <row r="1131" spans="2:25" x14ac:dyDescent="0.35">
      <c r="B1131" t="s">
        <v>434</v>
      </c>
      <c r="C1131" s="17">
        <v>0.176812203109841</v>
      </c>
      <c r="D1131" s="17">
        <v>0.14010333800518199</v>
      </c>
      <c r="E1131" s="17">
        <v>0.212077448792343</v>
      </c>
      <c r="F1131" s="17"/>
      <c r="G1131" s="17">
        <v>0.118069298534604</v>
      </c>
      <c r="H1131" s="17">
        <v>0.12804209959560101</v>
      </c>
      <c r="I1131" s="17">
        <v>0.15830165043613001</v>
      </c>
      <c r="J1131" s="17">
        <v>0.18769495721431501</v>
      </c>
      <c r="K1131" s="17">
        <v>0.20805997973254201</v>
      </c>
      <c r="L1131" s="17">
        <v>0.211413384880759</v>
      </c>
      <c r="M1131" s="17"/>
      <c r="N1131" s="17">
        <v>0.22701858737490699</v>
      </c>
      <c r="O1131" s="17">
        <v>0.24030460705738699</v>
      </c>
      <c r="P1131" s="17">
        <v>0.20083449597845901</v>
      </c>
      <c r="Q1131" s="17">
        <v>0.10277663626013001</v>
      </c>
      <c r="R1131" s="17">
        <v>0.13335511085260901</v>
      </c>
      <c r="S1131" s="17">
        <v>0.15979593519792201</v>
      </c>
      <c r="T1131" s="17">
        <v>0.16421623379130401</v>
      </c>
      <c r="U1131" s="17">
        <v>0.27642127212144002</v>
      </c>
      <c r="V1131" s="17">
        <v>0.17665990549041699</v>
      </c>
      <c r="W1131" s="17"/>
      <c r="X1131" s="17">
        <v>0.12832552325141</v>
      </c>
      <c r="Y1131" s="17">
        <v>0.20364310869555599</v>
      </c>
    </row>
    <row r="1132" spans="2:25" x14ac:dyDescent="0.35">
      <c r="C1132" s="17"/>
      <c r="D1132" s="17"/>
      <c r="E1132" s="17"/>
      <c r="F1132" s="17"/>
      <c r="G1132" s="17"/>
      <c r="H1132" s="17"/>
      <c r="I1132" s="17"/>
      <c r="J1132" s="17"/>
      <c r="K1132" s="17"/>
      <c r="L1132" s="17"/>
      <c r="M1132" s="17"/>
      <c r="N1132" s="17"/>
      <c r="O1132" s="17"/>
      <c r="P1132" s="17"/>
      <c r="Q1132" s="17"/>
      <c r="R1132" s="17"/>
      <c r="S1132" s="17"/>
      <c r="T1132" s="17"/>
      <c r="U1132" s="17"/>
      <c r="V1132" s="17"/>
      <c r="W1132" s="17"/>
      <c r="X1132" s="17"/>
      <c r="Y1132" s="17"/>
    </row>
    <row r="1133" spans="2:25" x14ac:dyDescent="0.35">
      <c r="B1133" s="6" t="s">
        <v>446</v>
      </c>
      <c r="C1133" s="17"/>
      <c r="D1133" s="17"/>
      <c r="E1133" s="17"/>
      <c r="F1133" s="17"/>
      <c r="G1133" s="17"/>
      <c r="H1133" s="17"/>
      <c r="I1133" s="17"/>
      <c r="J1133" s="17"/>
      <c r="K1133" s="17"/>
      <c r="L1133" s="17"/>
      <c r="M1133" s="17"/>
      <c r="N1133" s="17"/>
      <c r="O1133" s="17"/>
      <c r="P1133" s="17"/>
      <c r="Q1133" s="17"/>
      <c r="R1133" s="17"/>
      <c r="S1133" s="17"/>
      <c r="T1133" s="17"/>
      <c r="U1133" s="17"/>
      <c r="V1133" s="17"/>
      <c r="W1133" s="17"/>
      <c r="X1133" s="17"/>
      <c r="Y1133" s="17"/>
    </row>
    <row r="1134" spans="2:25" x14ac:dyDescent="0.35">
      <c r="B1134" s="24" t="s">
        <v>50</v>
      </c>
      <c r="C1134" s="17"/>
      <c r="D1134" s="17"/>
      <c r="E1134" s="17"/>
      <c r="F1134" s="17"/>
      <c r="G1134" s="17"/>
      <c r="H1134" s="17"/>
      <c r="I1134" s="17"/>
      <c r="J1134" s="17"/>
      <c r="K1134" s="17"/>
      <c r="L1134" s="17"/>
      <c r="M1134" s="17"/>
      <c r="N1134" s="17"/>
      <c r="O1134" s="17"/>
      <c r="P1134" s="17"/>
      <c r="Q1134" s="17"/>
      <c r="R1134" s="17"/>
      <c r="S1134" s="17"/>
      <c r="T1134" s="17"/>
      <c r="U1134" s="17"/>
      <c r="V1134" s="17"/>
      <c r="W1134" s="17"/>
      <c r="X1134" s="17"/>
      <c r="Y1134" s="17"/>
    </row>
    <row r="1135" spans="2:25" x14ac:dyDescent="0.35">
      <c r="B1135" t="s">
        <v>431</v>
      </c>
      <c r="C1135" s="17">
        <v>9.2850536437597497E-2</v>
      </c>
      <c r="D1135" s="17">
        <v>0.104519813888273</v>
      </c>
      <c r="E1135" s="17">
        <v>8.1418500293238702E-2</v>
      </c>
      <c r="F1135" s="17"/>
      <c r="G1135" s="17">
        <v>0.20792216421238</v>
      </c>
      <c r="H1135" s="17">
        <v>0.17422194517385001</v>
      </c>
      <c r="I1135" s="17">
        <v>0.107612999707858</v>
      </c>
      <c r="J1135" s="17">
        <v>7.1339448206211797E-2</v>
      </c>
      <c r="K1135" s="17">
        <v>5.3888213740221798E-2</v>
      </c>
      <c r="L1135" s="17">
        <v>3.2732267810891703E-2</v>
      </c>
      <c r="M1135" s="17"/>
      <c r="N1135" s="17">
        <v>0.24473504884422001</v>
      </c>
      <c r="O1135" s="17">
        <v>6.7378010563549404E-2</v>
      </c>
      <c r="P1135" s="17">
        <v>0.10482629776521001</v>
      </c>
      <c r="Q1135" s="17">
        <v>7.3419358410639707E-2</v>
      </c>
      <c r="R1135" s="17">
        <v>5.0440575540816303E-2</v>
      </c>
      <c r="S1135" s="17">
        <v>8.2177970896500405E-2</v>
      </c>
      <c r="T1135" s="17">
        <v>0.111102779352104</v>
      </c>
      <c r="U1135" s="17">
        <v>0.106644729910538</v>
      </c>
      <c r="V1135" s="17">
        <v>9.7783090132386896E-2</v>
      </c>
      <c r="W1135" s="17"/>
      <c r="X1135" s="17">
        <v>0.12770551972640801</v>
      </c>
      <c r="Y1135" s="17">
        <v>7.3562955424744905E-2</v>
      </c>
    </row>
    <row r="1136" spans="2:25" x14ac:dyDescent="0.35">
      <c r="B1136" t="s">
        <v>432</v>
      </c>
      <c r="C1136" s="17">
        <v>0.25056685255898697</v>
      </c>
      <c r="D1136" s="17">
        <v>0.28898465671576201</v>
      </c>
      <c r="E1136" s="17">
        <v>0.213867352931775</v>
      </c>
      <c r="F1136" s="17"/>
      <c r="G1136" s="17">
        <v>0.33047800413725698</v>
      </c>
      <c r="H1136" s="17">
        <v>0.32668699788052402</v>
      </c>
      <c r="I1136" s="17">
        <v>0.29432832621423599</v>
      </c>
      <c r="J1136" s="17">
        <v>0.24335804263349001</v>
      </c>
      <c r="K1136" s="17">
        <v>0.208695479523127</v>
      </c>
      <c r="L1136" s="17">
        <v>0.18018196229570899</v>
      </c>
      <c r="M1136" s="17"/>
      <c r="N1136" s="17">
        <v>0.34255128933859902</v>
      </c>
      <c r="O1136" s="17">
        <v>0.27676316350343699</v>
      </c>
      <c r="P1136" s="17">
        <v>0.304343678570488</v>
      </c>
      <c r="Q1136" s="17">
        <v>0.28062542420630499</v>
      </c>
      <c r="R1136" s="17">
        <v>0.168560031729067</v>
      </c>
      <c r="S1136" s="17">
        <v>0.22919646425546999</v>
      </c>
      <c r="T1136" s="17">
        <v>0.27158652206579398</v>
      </c>
      <c r="U1136" s="17">
        <v>0.22975385308614199</v>
      </c>
      <c r="V1136" s="17">
        <v>0.239039408958967</v>
      </c>
      <c r="W1136" s="17"/>
      <c r="X1136" s="17">
        <v>0.30456917877032802</v>
      </c>
      <c r="Y1136" s="17">
        <v>0.22068377291286501</v>
      </c>
    </row>
    <row r="1137" spans="2:25" x14ac:dyDescent="0.35">
      <c r="B1137" t="s">
        <v>433</v>
      </c>
      <c r="C1137" s="17">
        <v>0.45023263271023301</v>
      </c>
      <c r="D1137" s="17">
        <v>0.43859698684577703</v>
      </c>
      <c r="E1137" s="17">
        <v>0.461908473286403</v>
      </c>
      <c r="F1137" s="17"/>
      <c r="G1137" s="17">
        <v>0.336982706644881</v>
      </c>
      <c r="H1137" s="17">
        <v>0.36438846305342099</v>
      </c>
      <c r="I1137" s="17">
        <v>0.43416313273769502</v>
      </c>
      <c r="J1137" s="17">
        <v>0.47923356576686998</v>
      </c>
      <c r="K1137" s="17">
        <v>0.47070724526441798</v>
      </c>
      <c r="L1137" s="17">
        <v>0.52020996263205599</v>
      </c>
      <c r="M1137" s="17"/>
      <c r="N1137" s="17">
        <v>0.30206148998799898</v>
      </c>
      <c r="O1137" s="17">
        <v>0.45554924308271599</v>
      </c>
      <c r="P1137" s="17">
        <v>0.382865997412346</v>
      </c>
      <c r="Q1137" s="17">
        <v>0.50733478112788599</v>
      </c>
      <c r="R1137" s="17">
        <v>0.52242848851583801</v>
      </c>
      <c r="S1137" s="17">
        <v>0.52013425961432302</v>
      </c>
      <c r="T1137" s="17">
        <v>0.38790536963153099</v>
      </c>
      <c r="U1137" s="17">
        <v>0.40048526701436399</v>
      </c>
      <c r="V1137" s="17">
        <v>0.47528607414512303</v>
      </c>
      <c r="W1137" s="17"/>
      <c r="X1137" s="17">
        <v>0.41770326160623</v>
      </c>
      <c r="Y1137" s="17">
        <v>0.468233297787787</v>
      </c>
    </row>
    <row r="1138" spans="2:25" x14ac:dyDescent="0.35">
      <c r="B1138" t="s">
        <v>434</v>
      </c>
      <c r="C1138" s="17">
        <v>0.206349978293183</v>
      </c>
      <c r="D1138" s="17">
        <v>0.16789854255018799</v>
      </c>
      <c r="E1138" s="17">
        <v>0.24280567348858301</v>
      </c>
      <c r="F1138" s="17"/>
      <c r="G1138" s="17">
        <v>0.124617125005482</v>
      </c>
      <c r="H1138" s="17">
        <v>0.13470259389220501</v>
      </c>
      <c r="I1138" s="17">
        <v>0.163895541340211</v>
      </c>
      <c r="J1138" s="17">
        <v>0.20606894339342799</v>
      </c>
      <c r="K1138" s="17">
        <v>0.266709061472233</v>
      </c>
      <c r="L1138" s="17">
        <v>0.26687580726134302</v>
      </c>
      <c r="M1138" s="17"/>
      <c r="N1138" s="17">
        <v>0.11065217182918299</v>
      </c>
      <c r="O1138" s="17">
        <v>0.20030958285029701</v>
      </c>
      <c r="P1138" s="17">
        <v>0.20796402625195601</v>
      </c>
      <c r="Q1138" s="17">
        <v>0.13862043625516901</v>
      </c>
      <c r="R1138" s="17">
        <v>0.25857090421427797</v>
      </c>
      <c r="S1138" s="17">
        <v>0.16849130523370701</v>
      </c>
      <c r="T1138" s="17">
        <v>0.229405328950571</v>
      </c>
      <c r="U1138" s="17">
        <v>0.26311614998895599</v>
      </c>
      <c r="V1138" s="17">
        <v>0.187891426763523</v>
      </c>
      <c r="W1138" s="17"/>
      <c r="X1138" s="17">
        <v>0.150022039897034</v>
      </c>
      <c r="Y1138" s="17">
        <v>0.237519973874603</v>
      </c>
    </row>
    <row r="1139" spans="2:25" x14ac:dyDescent="0.35">
      <c r="C1139" s="17"/>
      <c r="D1139" s="17"/>
      <c r="E1139" s="17"/>
      <c r="F1139" s="17"/>
      <c r="G1139" s="17"/>
      <c r="H1139" s="17"/>
      <c r="I1139" s="17"/>
      <c r="J1139" s="17"/>
      <c r="K1139" s="17"/>
      <c r="L1139" s="17"/>
      <c r="M1139" s="17"/>
      <c r="N1139" s="17"/>
      <c r="O1139" s="17"/>
      <c r="P1139" s="17"/>
      <c r="Q1139" s="17"/>
      <c r="R1139" s="17"/>
      <c r="S1139" s="17"/>
      <c r="T1139" s="17"/>
      <c r="U1139" s="17"/>
      <c r="V1139" s="17"/>
      <c r="W1139" s="17"/>
      <c r="X1139" s="17"/>
      <c r="Y1139" s="17"/>
    </row>
    <row r="1140" spans="2:25" x14ac:dyDescent="0.35">
      <c r="B1140" s="6" t="s">
        <v>447</v>
      </c>
      <c r="C1140" s="17"/>
      <c r="D1140" s="17"/>
      <c r="E1140" s="17"/>
      <c r="F1140" s="17"/>
      <c r="G1140" s="17"/>
      <c r="H1140" s="17"/>
      <c r="I1140" s="17"/>
      <c r="J1140" s="17"/>
      <c r="K1140" s="17"/>
      <c r="L1140" s="17"/>
      <c r="M1140" s="17"/>
      <c r="N1140" s="17"/>
      <c r="O1140" s="17"/>
      <c r="P1140" s="17"/>
      <c r="Q1140" s="17"/>
      <c r="R1140" s="17"/>
      <c r="S1140" s="17"/>
      <c r="T1140" s="17"/>
      <c r="U1140" s="17"/>
      <c r="V1140" s="17"/>
      <c r="W1140" s="17"/>
      <c r="X1140" s="17"/>
      <c r="Y1140" s="17"/>
    </row>
    <row r="1141" spans="2:25" x14ac:dyDescent="0.35">
      <c r="B1141" s="24" t="s">
        <v>50</v>
      </c>
      <c r="C1141" s="17"/>
      <c r="D1141" s="17"/>
      <c r="E1141" s="17"/>
      <c r="F1141" s="17"/>
      <c r="G1141" s="17"/>
      <c r="H1141" s="17"/>
      <c r="I1141" s="17"/>
      <c r="J1141" s="17"/>
      <c r="K1141" s="17"/>
      <c r="L1141" s="17"/>
      <c r="M1141" s="17"/>
      <c r="N1141" s="17"/>
      <c r="O1141" s="17"/>
      <c r="P1141" s="17"/>
      <c r="Q1141" s="17"/>
      <c r="R1141" s="17"/>
      <c r="S1141" s="17"/>
      <c r="T1141" s="17"/>
      <c r="U1141" s="17"/>
      <c r="V1141" s="17"/>
      <c r="W1141" s="17"/>
      <c r="X1141" s="17"/>
      <c r="Y1141" s="17"/>
    </row>
    <row r="1142" spans="2:25" x14ac:dyDescent="0.35">
      <c r="B1142" t="s">
        <v>431</v>
      </c>
      <c r="C1142" s="17">
        <v>7.8660120966140099E-2</v>
      </c>
      <c r="D1142" s="17">
        <v>0.122102751664763</v>
      </c>
      <c r="E1142" s="17">
        <v>3.8077954063196397E-2</v>
      </c>
      <c r="F1142" s="17"/>
      <c r="G1142" s="17">
        <v>0.168156957033188</v>
      </c>
      <c r="H1142" s="17">
        <v>0.167342427712666</v>
      </c>
      <c r="I1142" s="17">
        <v>0.10767405668458301</v>
      </c>
      <c r="J1142" s="17">
        <v>6.1867755781653502E-2</v>
      </c>
      <c r="K1142" s="17">
        <v>2.8258693167311999E-2</v>
      </c>
      <c r="L1142" s="17">
        <v>1.8894746668975101E-2</v>
      </c>
      <c r="M1142" s="17"/>
      <c r="N1142" s="17">
        <v>0.102047127897801</v>
      </c>
      <c r="O1142" s="17">
        <v>5.4058016407256299E-2</v>
      </c>
      <c r="P1142" s="17">
        <v>7.5860793437580301E-2</v>
      </c>
      <c r="Q1142" s="17">
        <v>8.0568456774219199E-2</v>
      </c>
      <c r="R1142" s="17">
        <v>6.2187613264296102E-2</v>
      </c>
      <c r="S1142" s="17">
        <v>9.0400882103918195E-2</v>
      </c>
      <c r="T1142" s="17">
        <v>8.2241177115445194E-2</v>
      </c>
      <c r="U1142" s="17">
        <v>7.2541248396340602E-2</v>
      </c>
      <c r="V1142" s="17">
        <v>9.9003005077654596E-2</v>
      </c>
      <c r="W1142" s="17"/>
      <c r="X1142" s="17">
        <v>0.117949413469752</v>
      </c>
      <c r="Y1142" s="17">
        <v>5.6918741668323398E-2</v>
      </c>
    </row>
    <row r="1143" spans="2:25" x14ac:dyDescent="0.35">
      <c r="B1143" t="s">
        <v>432</v>
      </c>
      <c r="C1143" s="17">
        <v>0.21535221009182001</v>
      </c>
      <c r="D1143" s="17">
        <v>0.27188494713996397</v>
      </c>
      <c r="E1143" s="17">
        <v>0.16188460568483101</v>
      </c>
      <c r="F1143" s="17"/>
      <c r="G1143" s="17">
        <v>0.35456612487024203</v>
      </c>
      <c r="H1143" s="17">
        <v>0.328186001579231</v>
      </c>
      <c r="I1143" s="17">
        <v>0.28855209034766399</v>
      </c>
      <c r="J1143" s="17">
        <v>0.202343103697736</v>
      </c>
      <c r="K1143" s="17">
        <v>0.15584086722110899</v>
      </c>
      <c r="L1143" s="17">
        <v>9.78553141939138E-2</v>
      </c>
      <c r="M1143" s="17"/>
      <c r="N1143" s="17">
        <v>0.210785823606193</v>
      </c>
      <c r="O1143" s="17">
        <v>0.21556496286473401</v>
      </c>
      <c r="P1143" s="17">
        <v>0.20016620597103599</v>
      </c>
      <c r="Q1143" s="17">
        <v>0.22087422102395601</v>
      </c>
      <c r="R1143" s="17">
        <v>0.18376030151248601</v>
      </c>
      <c r="S1143" s="17">
        <v>0.234172384729604</v>
      </c>
      <c r="T1143" s="17">
        <v>0.273337141496309</v>
      </c>
      <c r="U1143" s="17">
        <v>0.19293560552823699</v>
      </c>
      <c r="V1143" s="17">
        <v>0.18480278629421801</v>
      </c>
      <c r="W1143" s="17"/>
      <c r="X1143" s="17">
        <v>0.28184551294358801</v>
      </c>
      <c r="Y1143" s="17">
        <v>0.17855704209708001</v>
      </c>
    </row>
    <row r="1144" spans="2:25" x14ac:dyDescent="0.35">
      <c r="B1144" t="s">
        <v>433</v>
      </c>
      <c r="C1144" s="17">
        <v>0.47851270824248299</v>
      </c>
      <c r="D1144" s="17">
        <v>0.44045426003992799</v>
      </c>
      <c r="E1144" s="17">
        <v>0.51363954263622003</v>
      </c>
      <c r="F1144" s="17"/>
      <c r="G1144" s="17">
        <v>0.357200403257661</v>
      </c>
      <c r="H1144" s="17">
        <v>0.366905439648815</v>
      </c>
      <c r="I1144" s="17">
        <v>0.43293288589830597</v>
      </c>
      <c r="J1144" s="17">
        <v>0.51939715201214298</v>
      </c>
      <c r="K1144" s="17">
        <v>0.54745198796821504</v>
      </c>
      <c r="L1144" s="17">
        <v>0.54565030046829599</v>
      </c>
      <c r="M1144" s="17"/>
      <c r="N1144" s="17">
        <v>0.41673899035199302</v>
      </c>
      <c r="O1144" s="17">
        <v>0.40494616584364101</v>
      </c>
      <c r="P1144" s="17">
        <v>0.44911241446872002</v>
      </c>
      <c r="Q1144" s="17">
        <v>0.56089996633643702</v>
      </c>
      <c r="R1144" s="17">
        <v>0.55573532783263002</v>
      </c>
      <c r="S1144" s="17">
        <v>0.43381756962543699</v>
      </c>
      <c r="T1144" s="17">
        <v>0.44857135008994597</v>
      </c>
      <c r="U1144" s="17">
        <v>0.437633375425378</v>
      </c>
      <c r="V1144" s="17">
        <v>0.51148152774091804</v>
      </c>
      <c r="W1144" s="17"/>
      <c r="X1144" s="17">
        <v>0.44011369112384402</v>
      </c>
      <c r="Y1144" s="17">
        <v>0.49976143894342201</v>
      </c>
    </row>
    <row r="1145" spans="2:25" x14ac:dyDescent="0.35">
      <c r="B1145" t="s">
        <v>434</v>
      </c>
      <c r="C1145" s="17">
        <v>0.227474960699557</v>
      </c>
      <c r="D1145" s="17">
        <v>0.165558041155344</v>
      </c>
      <c r="E1145" s="17">
        <v>0.28639789761575302</v>
      </c>
      <c r="F1145" s="17"/>
      <c r="G1145" s="17">
        <v>0.12007651483891001</v>
      </c>
      <c r="H1145" s="17">
        <v>0.137566131059288</v>
      </c>
      <c r="I1145" s="17">
        <v>0.17084096706944699</v>
      </c>
      <c r="J1145" s="17">
        <v>0.216391988508467</v>
      </c>
      <c r="K1145" s="17">
        <v>0.26844845164336401</v>
      </c>
      <c r="L1145" s="17">
        <v>0.33759963866881498</v>
      </c>
      <c r="M1145" s="17"/>
      <c r="N1145" s="17">
        <v>0.27042805814401399</v>
      </c>
      <c r="O1145" s="17">
        <v>0.32543085488436801</v>
      </c>
      <c r="P1145" s="17">
        <v>0.27486058612266401</v>
      </c>
      <c r="Q1145" s="17">
        <v>0.13765735586538799</v>
      </c>
      <c r="R1145" s="17">
        <v>0.19831675739058799</v>
      </c>
      <c r="S1145" s="17">
        <v>0.24160916354104101</v>
      </c>
      <c r="T1145" s="17">
        <v>0.19585033129830001</v>
      </c>
      <c r="U1145" s="17">
        <v>0.29688977065004402</v>
      </c>
      <c r="V1145" s="17">
        <v>0.20471268088721001</v>
      </c>
      <c r="W1145" s="17"/>
      <c r="X1145" s="17">
        <v>0.16009138246281501</v>
      </c>
      <c r="Y1145" s="17">
        <v>0.26476277729117398</v>
      </c>
    </row>
    <row r="1146" spans="2:25" x14ac:dyDescent="0.35">
      <c r="C1146" s="17"/>
      <c r="D1146" s="17"/>
      <c r="E1146" s="17"/>
      <c r="F1146" s="17"/>
      <c r="G1146" s="17"/>
      <c r="H1146" s="17"/>
      <c r="I1146" s="17"/>
      <c r="J1146" s="17"/>
      <c r="K1146" s="17"/>
      <c r="L1146" s="17"/>
      <c r="M1146" s="17"/>
      <c r="N1146" s="17"/>
      <c r="O1146" s="17"/>
      <c r="P1146" s="17"/>
      <c r="Q1146" s="17"/>
      <c r="R1146" s="17"/>
      <c r="S1146" s="17"/>
      <c r="T1146" s="17"/>
      <c r="U1146" s="17"/>
      <c r="V1146" s="17"/>
      <c r="W1146" s="17"/>
      <c r="X1146" s="17"/>
      <c r="Y1146" s="17"/>
    </row>
    <row r="1147" spans="2:25" x14ac:dyDescent="0.35">
      <c r="B1147" s="6" t="s">
        <v>448</v>
      </c>
      <c r="C1147" s="17"/>
      <c r="D1147" s="17"/>
      <c r="E1147" s="17"/>
      <c r="F1147" s="17"/>
      <c r="G1147" s="17"/>
      <c r="H1147" s="17"/>
      <c r="I1147" s="17"/>
      <c r="J1147" s="17"/>
      <c r="K1147" s="17"/>
      <c r="L1147" s="17"/>
      <c r="M1147" s="17"/>
      <c r="N1147" s="17"/>
      <c r="O1147" s="17"/>
      <c r="P1147" s="17"/>
      <c r="Q1147" s="17"/>
      <c r="R1147" s="17"/>
      <c r="S1147" s="17"/>
      <c r="T1147" s="17"/>
      <c r="U1147" s="17"/>
      <c r="V1147" s="17"/>
      <c r="W1147" s="17"/>
      <c r="X1147" s="17"/>
      <c r="Y1147" s="17"/>
    </row>
    <row r="1148" spans="2:25" x14ac:dyDescent="0.35">
      <c r="B1148" s="24" t="s">
        <v>50</v>
      </c>
      <c r="C1148" s="17"/>
      <c r="D1148" s="17"/>
      <c r="E1148" s="17"/>
      <c r="F1148" s="17"/>
      <c r="G1148" s="17"/>
      <c r="H1148" s="17"/>
      <c r="I1148" s="17"/>
      <c r="J1148" s="17"/>
      <c r="K1148" s="17"/>
      <c r="L1148" s="17"/>
      <c r="M1148" s="17"/>
      <c r="N1148" s="17"/>
      <c r="O1148" s="17"/>
      <c r="P1148" s="17"/>
      <c r="Q1148" s="17"/>
      <c r="R1148" s="17"/>
      <c r="S1148" s="17"/>
      <c r="T1148" s="17"/>
      <c r="U1148" s="17"/>
      <c r="V1148" s="17"/>
      <c r="W1148" s="17"/>
      <c r="X1148" s="17"/>
      <c r="Y1148" s="17"/>
    </row>
    <row r="1149" spans="2:25" x14ac:dyDescent="0.35">
      <c r="B1149" t="s">
        <v>431</v>
      </c>
      <c r="C1149" s="17">
        <v>3.4271646354963402E-2</v>
      </c>
      <c r="D1149" s="17">
        <v>4.8972933362372899E-2</v>
      </c>
      <c r="E1149" s="17">
        <v>2.0568980963955898E-2</v>
      </c>
      <c r="F1149" s="17"/>
      <c r="G1149" s="17">
        <v>8.3422334558873795E-2</v>
      </c>
      <c r="H1149" s="17">
        <v>5.9080123685480899E-2</v>
      </c>
      <c r="I1149" s="17">
        <v>5.52325964087284E-2</v>
      </c>
      <c r="J1149" s="17">
        <v>1.9068548604135701E-2</v>
      </c>
      <c r="K1149" s="17">
        <v>1.2390402963718501E-2</v>
      </c>
      <c r="L1149" s="17">
        <v>1.26403542410265E-2</v>
      </c>
      <c r="M1149" s="17"/>
      <c r="N1149" s="17">
        <v>2.2178794853651301E-2</v>
      </c>
      <c r="O1149" s="17">
        <v>6.7322230832391897E-3</v>
      </c>
      <c r="P1149" s="17">
        <v>3.7378805355246E-2</v>
      </c>
      <c r="Q1149" s="17">
        <v>3.1285839783858002E-2</v>
      </c>
      <c r="R1149" s="17">
        <v>2.6873026049581399E-2</v>
      </c>
      <c r="S1149" s="17">
        <v>3.1258925091759399E-2</v>
      </c>
      <c r="T1149" s="17">
        <v>3.4885858765552502E-2</v>
      </c>
      <c r="U1149" s="17">
        <v>4.2126436004485901E-2</v>
      </c>
      <c r="V1149" s="17">
        <v>5.8535776070282999E-2</v>
      </c>
      <c r="W1149" s="17"/>
      <c r="X1149" s="17">
        <v>5.20387355795255E-2</v>
      </c>
      <c r="Y1149" s="17">
        <v>2.44399339154013E-2</v>
      </c>
    </row>
    <row r="1150" spans="2:25" x14ac:dyDescent="0.35">
      <c r="B1150" t="s">
        <v>432</v>
      </c>
      <c r="C1150" s="17">
        <v>0.120257261780325</v>
      </c>
      <c r="D1150" s="17">
        <v>0.13979528082939699</v>
      </c>
      <c r="E1150" s="17">
        <v>0.101155171324501</v>
      </c>
      <c r="F1150" s="17"/>
      <c r="G1150" s="17">
        <v>0.19501989042049001</v>
      </c>
      <c r="H1150" s="17">
        <v>0.18971804731667299</v>
      </c>
      <c r="I1150" s="17">
        <v>0.14972559424654799</v>
      </c>
      <c r="J1150" s="17">
        <v>0.103664980029742</v>
      </c>
      <c r="K1150" s="17">
        <v>8.3063820962886795E-2</v>
      </c>
      <c r="L1150" s="17">
        <v>6.8232072616951606E-2</v>
      </c>
      <c r="M1150" s="17"/>
      <c r="N1150" s="17">
        <v>0.13182762421206901</v>
      </c>
      <c r="O1150" s="17">
        <v>5.7669507253656598E-2</v>
      </c>
      <c r="P1150" s="17">
        <v>0.137118677831883</v>
      </c>
      <c r="Q1150" s="17">
        <v>0.116949998436827</v>
      </c>
      <c r="R1150" s="17">
        <v>8.7916840185445794E-2</v>
      </c>
      <c r="S1150" s="17">
        <v>0.13833284328835099</v>
      </c>
      <c r="T1150" s="17">
        <v>0.127841385764833</v>
      </c>
      <c r="U1150" s="17">
        <v>0.12983981413453199</v>
      </c>
      <c r="V1150" s="17">
        <v>0.10428079095180499</v>
      </c>
      <c r="W1150" s="17"/>
      <c r="X1150" s="17">
        <v>0.151566628649837</v>
      </c>
      <c r="Y1150" s="17">
        <v>0.10293170620759499</v>
      </c>
    </row>
    <row r="1151" spans="2:25" x14ac:dyDescent="0.35">
      <c r="B1151" t="s">
        <v>433</v>
      </c>
      <c r="C1151" s="17">
        <v>0.51806074731621199</v>
      </c>
      <c r="D1151" s="17">
        <v>0.51054120071337605</v>
      </c>
      <c r="E1151" s="17">
        <v>0.52523604667255896</v>
      </c>
      <c r="F1151" s="17"/>
      <c r="G1151" s="17">
        <v>0.496128814999379</v>
      </c>
      <c r="H1151" s="17">
        <v>0.50896376763547801</v>
      </c>
      <c r="I1151" s="17">
        <v>0.51806736569184197</v>
      </c>
      <c r="J1151" s="17">
        <v>0.50944457833050205</v>
      </c>
      <c r="K1151" s="17">
        <v>0.54470423505663701</v>
      </c>
      <c r="L1151" s="17">
        <v>0.519954263713023</v>
      </c>
      <c r="M1151" s="17"/>
      <c r="N1151" s="17">
        <v>0.45454114355363801</v>
      </c>
      <c r="O1151" s="17">
        <v>0.61142331367382396</v>
      </c>
      <c r="P1151" s="17">
        <v>0.49815693892086899</v>
      </c>
      <c r="Q1151" s="17">
        <v>0.52504539237561099</v>
      </c>
      <c r="R1151" s="17">
        <v>0.57202324862994702</v>
      </c>
      <c r="S1151" s="17">
        <v>0.56712664869704699</v>
      </c>
      <c r="T1151" s="17">
        <v>0.53415021653892703</v>
      </c>
      <c r="U1151" s="17">
        <v>0.39936806990141499</v>
      </c>
      <c r="V1151" s="17">
        <v>0.53607903688255598</v>
      </c>
      <c r="W1151" s="17"/>
      <c r="X1151" s="17">
        <v>0.51624258195625805</v>
      </c>
      <c r="Y1151" s="17">
        <v>0.51906685916496398</v>
      </c>
    </row>
    <row r="1152" spans="2:25" x14ac:dyDescent="0.35">
      <c r="B1152" t="s">
        <v>434</v>
      </c>
      <c r="C1152" s="17">
        <v>0.32741034454849899</v>
      </c>
      <c r="D1152" s="17">
        <v>0.30069058509485302</v>
      </c>
      <c r="E1152" s="17">
        <v>0.35303980103898502</v>
      </c>
      <c r="F1152" s="17"/>
      <c r="G1152" s="17">
        <v>0.22542896002125701</v>
      </c>
      <c r="H1152" s="17">
        <v>0.242238061362368</v>
      </c>
      <c r="I1152" s="17">
        <v>0.27697444365288099</v>
      </c>
      <c r="J1152" s="17">
        <v>0.36782189303562002</v>
      </c>
      <c r="K1152" s="17">
        <v>0.35984154101675703</v>
      </c>
      <c r="L1152" s="17">
        <v>0.39917330942899898</v>
      </c>
      <c r="M1152" s="17"/>
      <c r="N1152" s="17">
        <v>0.391452437380642</v>
      </c>
      <c r="O1152" s="17">
        <v>0.32417495598927998</v>
      </c>
      <c r="P1152" s="17">
        <v>0.32734557789200303</v>
      </c>
      <c r="Q1152" s="17">
        <v>0.32671876940370398</v>
      </c>
      <c r="R1152" s="17">
        <v>0.31318688513502602</v>
      </c>
      <c r="S1152" s="17">
        <v>0.26328158292284198</v>
      </c>
      <c r="T1152" s="17">
        <v>0.30312253893068702</v>
      </c>
      <c r="U1152" s="17">
        <v>0.428665679959567</v>
      </c>
      <c r="V1152" s="17">
        <v>0.301104396095356</v>
      </c>
      <c r="W1152" s="17"/>
      <c r="X1152" s="17">
        <v>0.28015205381438002</v>
      </c>
      <c r="Y1152" s="17">
        <v>0.35356150071204001</v>
      </c>
    </row>
    <row r="1153" spans="2:25" x14ac:dyDescent="0.35">
      <c r="C1153" s="17"/>
      <c r="D1153" s="17"/>
      <c r="E1153" s="17"/>
      <c r="F1153" s="17"/>
      <c r="G1153" s="17"/>
      <c r="H1153" s="17"/>
      <c r="I1153" s="17"/>
      <c r="J1153" s="17"/>
      <c r="K1153" s="17"/>
      <c r="L1153" s="17"/>
      <c r="M1153" s="17"/>
      <c r="N1153" s="17"/>
      <c r="O1153" s="17"/>
      <c r="P1153" s="17"/>
      <c r="Q1153" s="17"/>
      <c r="R1153" s="17"/>
      <c r="S1153" s="17"/>
      <c r="T1153" s="17"/>
      <c r="U1153" s="17"/>
      <c r="V1153" s="17"/>
      <c r="W1153" s="17"/>
      <c r="X1153" s="17"/>
      <c r="Y1153" s="17"/>
    </row>
    <row r="1154" spans="2:25" x14ac:dyDescent="0.35">
      <c r="B1154" s="6" t="s">
        <v>453</v>
      </c>
      <c r="C1154" s="17"/>
      <c r="D1154" s="17"/>
      <c r="E1154" s="17"/>
      <c r="F1154" s="17"/>
      <c r="G1154" s="17"/>
      <c r="H1154" s="17"/>
      <c r="I1154" s="17"/>
      <c r="J1154" s="17"/>
      <c r="K1154" s="17"/>
      <c r="L1154" s="17"/>
      <c r="M1154" s="17"/>
      <c r="N1154" s="17"/>
      <c r="O1154" s="17"/>
      <c r="P1154" s="17"/>
      <c r="Q1154" s="17"/>
      <c r="R1154" s="17"/>
      <c r="S1154" s="17"/>
      <c r="T1154" s="17"/>
      <c r="U1154" s="17"/>
      <c r="V1154" s="17"/>
      <c r="W1154" s="17"/>
      <c r="X1154" s="17"/>
      <c r="Y1154" s="17"/>
    </row>
    <row r="1155" spans="2:25" x14ac:dyDescent="0.35">
      <c r="B1155" s="24" t="s">
        <v>50</v>
      </c>
      <c r="C1155" s="17"/>
      <c r="D1155" s="17"/>
      <c r="E1155" s="17"/>
      <c r="F1155" s="17"/>
      <c r="G1155" s="17"/>
      <c r="H1155" s="17"/>
      <c r="I1155" s="17"/>
      <c r="J1155" s="17"/>
      <c r="K1155" s="17"/>
      <c r="L1155" s="17"/>
      <c r="M1155" s="17"/>
      <c r="N1155" s="17"/>
      <c r="O1155" s="17"/>
      <c r="P1155" s="17"/>
      <c r="Q1155" s="17"/>
      <c r="R1155" s="17"/>
      <c r="S1155" s="17"/>
      <c r="T1155" s="17"/>
      <c r="U1155" s="17"/>
      <c r="V1155" s="17"/>
      <c r="W1155" s="17"/>
      <c r="X1155" s="17"/>
      <c r="Y1155" s="17"/>
    </row>
    <row r="1156" spans="2:25" x14ac:dyDescent="0.35">
      <c r="B1156" t="s">
        <v>449</v>
      </c>
      <c r="C1156" s="17">
        <v>0.25085633495569798</v>
      </c>
      <c r="D1156" s="17">
        <v>0.30497965073989097</v>
      </c>
      <c r="E1156" s="17">
        <v>0.19924715736891099</v>
      </c>
      <c r="F1156" s="17"/>
      <c r="G1156" s="17">
        <v>0.44549171691536599</v>
      </c>
      <c r="H1156" s="17">
        <v>0.33360566169511402</v>
      </c>
      <c r="I1156" s="17">
        <v>0.29673995784900198</v>
      </c>
      <c r="J1156" s="17">
        <v>0.235924629159181</v>
      </c>
      <c r="K1156" s="17">
        <v>0.18575957428248399</v>
      </c>
      <c r="L1156" s="17">
        <v>0.15305639673732599</v>
      </c>
      <c r="M1156" s="17"/>
      <c r="N1156" s="17">
        <v>0.35950688237656098</v>
      </c>
      <c r="O1156" s="17">
        <v>0.30329156308882099</v>
      </c>
      <c r="P1156" s="17">
        <v>0.20312645309194</v>
      </c>
      <c r="Q1156" s="17">
        <v>0.24077424008388101</v>
      </c>
      <c r="R1156" s="17">
        <v>0.204800135996657</v>
      </c>
      <c r="S1156" s="17">
        <v>0.189711645018807</v>
      </c>
      <c r="T1156" s="17">
        <v>0.283817059942996</v>
      </c>
      <c r="U1156" s="17">
        <v>0.33071156595283202</v>
      </c>
      <c r="V1156" s="17">
        <v>0.29777078406482199</v>
      </c>
      <c r="W1156" s="17"/>
      <c r="X1156" s="17">
        <v>0.31413870710470698</v>
      </c>
      <c r="Y1156" s="17">
        <v>0.215837988528852</v>
      </c>
    </row>
    <row r="1157" spans="2:25" x14ac:dyDescent="0.35">
      <c r="B1157" t="s">
        <v>450</v>
      </c>
      <c r="C1157" s="17">
        <v>0.388173566553289</v>
      </c>
      <c r="D1157" s="17">
        <v>0.40123094770572099</v>
      </c>
      <c r="E1157" s="17">
        <v>0.37563812643815803</v>
      </c>
      <c r="F1157" s="17"/>
      <c r="G1157" s="17">
        <v>0.37379609571823902</v>
      </c>
      <c r="H1157" s="17">
        <v>0.41347620231175602</v>
      </c>
      <c r="I1157" s="17">
        <v>0.42852215912119601</v>
      </c>
      <c r="J1157" s="17">
        <v>0.41067693759990898</v>
      </c>
      <c r="K1157" s="17">
        <v>0.36902166963515798</v>
      </c>
      <c r="L1157" s="17">
        <v>0.34989209587488201</v>
      </c>
      <c r="M1157" s="17"/>
      <c r="N1157" s="17">
        <v>0.34459376818041099</v>
      </c>
      <c r="O1157" s="17">
        <v>0.50419596887709595</v>
      </c>
      <c r="P1157" s="17">
        <v>0.34077846114431798</v>
      </c>
      <c r="Q1157" s="17">
        <v>0.37367016664943797</v>
      </c>
      <c r="R1157" s="17">
        <v>0.39788568403153002</v>
      </c>
      <c r="S1157" s="17">
        <v>0.351863398279182</v>
      </c>
      <c r="T1157" s="17">
        <v>0.44107963753381202</v>
      </c>
      <c r="U1157" s="17">
        <v>0.39513714443671999</v>
      </c>
      <c r="V1157" s="17">
        <v>0.423715902654554</v>
      </c>
      <c r="W1157" s="17"/>
      <c r="X1157" s="17">
        <v>0.42568863554904401</v>
      </c>
      <c r="Y1157" s="17">
        <v>0.367413983154186</v>
      </c>
    </row>
    <row r="1158" spans="2:25" x14ac:dyDescent="0.35">
      <c r="B1158" t="s">
        <v>451</v>
      </c>
      <c r="C1158" s="17">
        <v>0.31953259715576898</v>
      </c>
      <c r="D1158" s="17">
        <v>0.26817709127008199</v>
      </c>
      <c r="E1158" s="17">
        <v>0.36861356213234198</v>
      </c>
      <c r="F1158" s="17"/>
      <c r="G1158" s="17">
        <v>0.15071922770507501</v>
      </c>
      <c r="H1158" s="17">
        <v>0.22407393489837099</v>
      </c>
      <c r="I1158" s="17">
        <v>0.243753276833651</v>
      </c>
      <c r="J1158" s="17">
        <v>0.30972165605802399</v>
      </c>
      <c r="K1158" s="17">
        <v>0.40702719356389</v>
      </c>
      <c r="L1158" s="17">
        <v>0.43658854147076898</v>
      </c>
      <c r="M1158" s="17"/>
      <c r="N1158" s="17">
        <v>0.26534309191154598</v>
      </c>
      <c r="O1158" s="17">
        <v>0.18835631220464399</v>
      </c>
      <c r="P1158" s="17">
        <v>0.39757604692813198</v>
      </c>
      <c r="Q1158" s="17">
        <v>0.347180365147294</v>
      </c>
      <c r="R1158" s="17">
        <v>0.37435625358941699</v>
      </c>
      <c r="S1158" s="17">
        <v>0.427792768221265</v>
      </c>
      <c r="T1158" s="17">
        <v>0.230298395211849</v>
      </c>
      <c r="U1158" s="17">
        <v>0.20504884299137099</v>
      </c>
      <c r="V1158" s="17">
        <v>0.25227687830502998</v>
      </c>
      <c r="W1158" s="17"/>
      <c r="X1158" s="17">
        <v>0.23972568742535699</v>
      </c>
      <c r="Y1158" s="17">
        <v>0.36369506953615</v>
      </c>
    </row>
    <row r="1159" spans="2:25" x14ac:dyDescent="0.35">
      <c r="B1159" t="s">
        <v>434</v>
      </c>
      <c r="C1159" s="17">
        <v>4.1437501335243897E-2</v>
      </c>
      <c r="D1159" s="17">
        <v>2.56123102843058E-2</v>
      </c>
      <c r="E1159" s="17">
        <v>5.6501154060588997E-2</v>
      </c>
      <c r="F1159" s="17"/>
      <c r="G1159" s="17">
        <v>2.9992959661319599E-2</v>
      </c>
      <c r="H1159" s="17">
        <v>2.88442010947591E-2</v>
      </c>
      <c r="I1159" s="17">
        <v>3.09846061961505E-2</v>
      </c>
      <c r="J1159" s="17">
        <v>4.3676777182886303E-2</v>
      </c>
      <c r="K1159" s="17">
        <v>3.8191562518469099E-2</v>
      </c>
      <c r="L1159" s="17">
        <v>6.0462965917022202E-2</v>
      </c>
      <c r="M1159" s="17"/>
      <c r="N1159" s="17">
        <v>3.05562575314819E-2</v>
      </c>
      <c r="O1159" s="17">
        <v>4.1561558294397703E-3</v>
      </c>
      <c r="P1159" s="17">
        <v>5.851903883561E-2</v>
      </c>
      <c r="Q1159" s="17">
        <v>3.83752281193862E-2</v>
      </c>
      <c r="R1159" s="17">
        <v>2.2957926382396701E-2</v>
      </c>
      <c r="S1159" s="17">
        <v>3.0632188480746E-2</v>
      </c>
      <c r="T1159" s="17">
        <v>4.48049073113434E-2</v>
      </c>
      <c r="U1159" s="17">
        <v>6.9102446619076996E-2</v>
      </c>
      <c r="V1159" s="17">
        <v>2.6236434975593598E-2</v>
      </c>
      <c r="W1159" s="17"/>
      <c r="X1159" s="17">
        <v>2.0446969920892299E-2</v>
      </c>
      <c r="Y1159" s="17">
        <v>5.3052958780811198E-2</v>
      </c>
    </row>
    <row r="1160" spans="2:25" x14ac:dyDescent="0.35">
      <c r="C1160" s="17"/>
      <c r="D1160" s="17"/>
      <c r="E1160" s="17"/>
      <c r="F1160" s="17"/>
      <c r="G1160" s="17"/>
      <c r="H1160" s="17"/>
      <c r="I1160" s="17"/>
      <c r="J1160" s="17"/>
      <c r="K1160" s="17"/>
      <c r="L1160" s="17"/>
      <c r="M1160" s="17"/>
      <c r="N1160" s="17"/>
      <c r="O1160" s="17"/>
      <c r="P1160" s="17"/>
      <c r="Q1160" s="17"/>
      <c r="R1160" s="17"/>
      <c r="S1160" s="17"/>
      <c r="T1160" s="17"/>
      <c r="U1160" s="17"/>
      <c r="V1160" s="17"/>
      <c r="W1160" s="17"/>
      <c r="X1160" s="17"/>
      <c r="Y1160" s="17"/>
    </row>
    <row r="1161" spans="2:25" x14ac:dyDescent="0.35">
      <c r="B1161" s="6" t="s">
        <v>454</v>
      </c>
      <c r="C1161" s="17"/>
      <c r="D1161" s="17"/>
      <c r="E1161" s="17"/>
      <c r="F1161" s="17"/>
      <c r="G1161" s="17"/>
      <c r="H1161" s="17"/>
      <c r="I1161" s="17"/>
      <c r="J1161" s="17"/>
      <c r="K1161" s="17"/>
      <c r="L1161" s="17"/>
      <c r="M1161" s="17"/>
      <c r="N1161" s="17"/>
      <c r="O1161" s="17"/>
      <c r="P1161" s="17"/>
      <c r="Q1161" s="17"/>
      <c r="R1161" s="17"/>
      <c r="S1161" s="17"/>
      <c r="T1161" s="17"/>
      <c r="U1161" s="17"/>
      <c r="V1161" s="17"/>
      <c r="W1161" s="17"/>
      <c r="X1161" s="17"/>
      <c r="Y1161" s="17"/>
    </row>
    <row r="1162" spans="2:25" x14ac:dyDescent="0.35">
      <c r="B1162" s="24" t="s">
        <v>50</v>
      </c>
      <c r="C1162" s="17"/>
      <c r="D1162" s="17"/>
      <c r="E1162" s="17"/>
      <c r="F1162" s="17"/>
      <c r="G1162" s="17"/>
      <c r="H1162" s="17"/>
      <c r="I1162" s="17"/>
      <c r="J1162" s="17"/>
      <c r="K1162" s="17"/>
      <c r="L1162" s="17"/>
      <c r="M1162" s="17"/>
      <c r="N1162" s="17"/>
      <c r="O1162" s="17"/>
      <c r="P1162" s="17"/>
      <c r="Q1162" s="17"/>
      <c r="R1162" s="17"/>
      <c r="S1162" s="17"/>
      <c r="T1162" s="17"/>
      <c r="U1162" s="17"/>
      <c r="V1162" s="17"/>
      <c r="W1162" s="17"/>
      <c r="X1162" s="17"/>
      <c r="Y1162" s="17"/>
    </row>
    <row r="1163" spans="2:25" x14ac:dyDescent="0.35">
      <c r="B1163" t="s">
        <v>449</v>
      </c>
      <c r="C1163" s="17">
        <v>7.7533347568657096E-2</v>
      </c>
      <c r="D1163" s="17">
        <v>0.11064537643596201</v>
      </c>
      <c r="E1163" s="17">
        <v>4.61011706919571E-2</v>
      </c>
      <c r="F1163" s="17"/>
      <c r="G1163" s="17">
        <v>0.15069265397478299</v>
      </c>
      <c r="H1163" s="17">
        <v>0.12819809210242</v>
      </c>
      <c r="I1163" s="17">
        <v>0.117454975665405</v>
      </c>
      <c r="J1163" s="17">
        <v>6.4489999118579097E-2</v>
      </c>
      <c r="K1163" s="17">
        <v>5.2902132877277602E-2</v>
      </c>
      <c r="L1163" s="17">
        <v>1.9832648147746001E-2</v>
      </c>
      <c r="M1163" s="17"/>
      <c r="N1163" s="17">
        <v>0.11417028196831</v>
      </c>
      <c r="O1163" s="17">
        <v>5.0594492320248798E-2</v>
      </c>
      <c r="P1163" s="17">
        <v>6.3170952403712496E-2</v>
      </c>
      <c r="Q1163" s="17">
        <v>7.8137929936830094E-2</v>
      </c>
      <c r="R1163" s="17">
        <v>4.9513896570965901E-2</v>
      </c>
      <c r="S1163" s="17">
        <v>4.5718907819483498E-2</v>
      </c>
      <c r="T1163" s="17">
        <v>0.126670576490965</v>
      </c>
      <c r="U1163" s="17">
        <v>8.9612436786019198E-2</v>
      </c>
      <c r="V1163" s="17">
        <v>0.102459239749597</v>
      </c>
      <c r="W1163" s="17"/>
      <c r="X1163" s="17">
        <v>0.101476367976979</v>
      </c>
      <c r="Y1163" s="17">
        <v>6.4284081545736393E-2</v>
      </c>
    </row>
    <row r="1164" spans="2:25" x14ac:dyDescent="0.35">
      <c r="B1164" t="s">
        <v>450</v>
      </c>
      <c r="C1164" s="17">
        <v>0.22682647701702799</v>
      </c>
      <c r="D1164" s="17">
        <v>0.27237719209315497</v>
      </c>
      <c r="E1164" s="17">
        <v>0.184238447328162</v>
      </c>
      <c r="F1164" s="17"/>
      <c r="G1164" s="17">
        <v>0.34612652728069099</v>
      </c>
      <c r="H1164" s="17">
        <v>0.29503311465604998</v>
      </c>
      <c r="I1164" s="17">
        <v>0.28692633792855199</v>
      </c>
      <c r="J1164" s="17">
        <v>0.21141987049215</v>
      </c>
      <c r="K1164" s="17">
        <v>0.18046895357214901</v>
      </c>
      <c r="L1164" s="17">
        <v>0.144542339186574</v>
      </c>
      <c r="M1164" s="17"/>
      <c r="N1164" s="17">
        <v>0.28663499324681002</v>
      </c>
      <c r="O1164" s="17">
        <v>0.25821088823253102</v>
      </c>
      <c r="P1164" s="17">
        <v>0.15691268681558501</v>
      </c>
      <c r="Q1164" s="17">
        <v>0.23366428165016401</v>
      </c>
      <c r="R1164" s="17">
        <v>0.17306100267646601</v>
      </c>
      <c r="S1164" s="17">
        <v>0.18302623975617799</v>
      </c>
      <c r="T1164" s="17">
        <v>0.29989070155549102</v>
      </c>
      <c r="U1164" s="17">
        <v>0.30726062756129102</v>
      </c>
      <c r="V1164" s="17">
        <v>0.19730187200069799</v>
      </c>
      <c r="W1164" s="17"/>
      <c r="X1164" s="17">
        <v>0.27830990856404803</v>
      </c>
      <c r="Y1164" s="17">
        <v>0.19833726936041199</v>
      </c>
    </row>
    <row r="1165" spans="2:25" x14ac:dyDescent="0.35">
      <c r="B1165" t="s">
        <v>451</v>
      </c>
      <c r="C1165" s="17">
        <v>0.56995746706524097</v>
      </c>
      <c r="D1165" s="17">
        <v>0.52987006695507399</v>
      </c>
      <c r="E1165" s="17">
        <v>0.60715991387545198</v>
      </c>
      <c r="F1165" s="17"/>
      <c r="G1165" s="17">
        <v>0.428733074786595</v>
      </c>
      <c r="H1165" s="17">
        <v>0.48236918714528698</v>
      </c>
      <c r="I1165" s="17">
        <v>0.49610665215841099</v>
      </c>
      <c r="J1165" s="17">
        <v>0.59165396559721295</v>
      </c>
      <c r="K1165" s="17">
        <v>0.63072070338368602</v>
      </c>
      <c r="L1165" s="17">
        <v>0.66691459411456899</v>
      </c>
      <c r="M1165" s="17"/>
      <c r="N1165" s="17">
        <v>0.47723913033793403</v>
      </c>
      <c r="O1165" s="17">
        <v>0.63736796992648703</v>
      </c>
      <c r="P1165" s="17">
        <v>0.60536677843302</v>
      </c>
      <c r="Q1165" s="17">
        <v>0.63450656197297794</v>
      </c>
      <c r="R1165" s="17">
        <v>0.67111989792229398</v>
      </c>
      <c r="S1165" s="17">
        <v>0.69602301334156302</v>
      </c>
      <c r="T1165" s="17">
        <v>0.38188612362609298</v>
      </c>
      <c r="U1165" s="17">
        <v>0.41506090981797</v>
      </c>
      <c r="V1165" s="17">
        <v>0.62567517837907505</v>
      </c>
      <c r="W1165" s="17"/>
      <c r="X1165" s="17">
        <v>0.53948721273382605</v>
      </c>
      <c r="Y1165" s="17">
        <v>0.58681868584792396</v>
      </c>
    </row>
    <row r="1166" spans="2:25" x14ac:dyDescent="0.35">
      <c r="B1166" t="s">
        <v>434</v>
      </c>
      <c r="C1166" s="17">
        <v>0.125682708349074</v>
      </c>
      <c r="D1166" s="17">
        <v>8.7107364515809402E-2</v>
      </c>
      <c r="E1166" s="17">
        <v>0.162500468104429</v>
      </c>
      <c r="F1166" s="17"/>
      <c r="G1166" s="17">
        <v>7.4447743957931301E-2</v>
      </c>
      <c r="H1166" s="17">
        <v>9.4399606096242802E-2</v>
      </c>
      <c r="I1166" s="17">
        <v>9.9512034247630499E-2</v>
      </c>
      <c r="J1166" s="17">
        <v>0.132436164792058</v>
      </c>
      <c r="K1166" s="17">
        <v>0.135908210166888</v>
      </c>
      <c r="L1166" s="17">
        <v>0.16871041855111099</v>
      </c>
      <c r="M1166" s="17"/>
      <c r="N1166" s="17">
        <v>0.12195559444694599</v>
      </c>
      <c r="O1166" s="17">
        <v>5.3826649520732302E-2</v>
      </c>
      <c r="P1166" s="17">
        <v>0.174549582347682</v>
      </c>
      <c r="Q1166" s="17">
        <v>5.3691226440028203E-2</v>
      </c>
      <c r="R1166" s="17">
        <v>0.106305202830274</v>
      </c>
      <c r="S1166" s="17">
        <v>7.5231839082775101E-2</v>
      </c>
      <c r="T1166" s="17">
        <v>0.191552598327451</v>
      </c>
      <c r="U1166" s="17">
        <v>0.18806602583471899</v>
      </c>
      <c r="V1166" s="17">
        <v>7.4563709870630795E-2</v>
      </c>
      <c r="W1166" s="17"/>
      <c r="X1166" s="17">
        <v>8.0726510725147194E-2</v>
      </c>
      <c r="Y1166" s="17">
        <v>0.15055996324592799</v>
      </c>
    </row>
    <row r="1167" spans="2:25" x14ac:dyDescent="0.35">
      <c r="C1167" s="17"/>
      <c r="D1167" s="17"/>
      <c r="E1167" s="17"/>
      <c r="F1167" s="17"/>
      <c r="G1167" s="17"/>
      <c r="H1167" s="17"/>
      <c r="I1167" s="17"/>
      <c r="J1167" s="17"/>
      <c r="K1167" s="17"/>
      <c r="L1167" s="17"/>
      <c r="M1167" s="17"/>
      <c r="N1167" s="17"/>
      <c r="O1167" s="17"/>
      <c r="P1167" s="17"/>
      <c r="Q1167" s="17"/>
      <c r="R1167" s="17"/>
      <c r="S1167" s="17"/>
      <c r="T1167" s="17"/>
      <c r="U1167" s="17"/>
      <c r="V1167" s="17"/>
      <c r="W1167" s="17"/>
      <c r="X1167" s="17"/>
      <c r="Y1167" s="17"/>
    </row>
    <row r="1168" spans="2:25" x14ac:dyDescent="0.35">
      <c r="B1168" s="6" t="s">
        <v>455</v>
      </c>
      <c r="C1168" s="17"/>
      <c r="D1168" s="17"/>
      <c r="E1168" s="17"/>
      <c r="F1168" s="17"/>
      <c r="G1168" s="17"/>
      <c r="H1168" s="17"/>
      <c r="I1168" s="17"/>
      <c r="J1168" s="17"/>
      <c r="K1168" s="17"/>
      <c r="L1168" s="17"/>
      <c r="M1168" s="17"/>
      <c r="N1168" s="17"/>
      <c r="O1168" s="17"/>
      <c r="P1168" s="17"/>
      <c r="Q1168" s="17"/>
      <c r="R1168" s="17"/>
      <c r="S1168" s="17"/>
      <c r="T1168" s="17"/>
      <c r="U1168" s="17"/>
      <c r="V1168" s="17"/>
      <c r="W1168" s="17"/>
      <c r="X1168" s="17"/>
      <c r="Y1168" s="17"/>
    </row>
    <row r="1169" spans="2:25" x14ac:dyDescent="0.35">
      <c r="B1169" s="24" t="s">
        <v>50</v>
      </c>
      <c r="C1169" s="17"/>
      <c r="D1169" s="17"/>
      <c r="E1169" s="17"/>
      <c r="F1169" s="17"/>
      <c r="G1169" s="17"/>
      <c r="H1169" s="17"/>
      <c r="I1169" s="17"/>
      <c r="J1169" s="17"/>
      <c r="K1169" s="17"/>
      <c r="L1169" s="17"/>
      <c r="M1169" s="17"/>
      <c r="N1169" s="17"/>
      <c r="O1169" s="17"/>
      <c r="P1169" s="17"/>
      <c r="Q1169" s="17"/>
      <c r="R1169" s="17"/>
      <c r="S1169" s="17"/>
      <c r="T1169" s="17"/>
      <c r="U1169" s="17"/>
      <c r="V1169" s="17"/>
      <c r="W1169" s="17"/>
      <c r="X1169" s="17"/>
      <c r="Y1169" s="17"/>
    </row>
    <row r="1170" spans="2:25" x14ac:dyDescent="0.35">
      <c r="B1170" t="s">
        <v>449</v>
      </c>
      <c r="C1170" s="17">
        <v>9.3267335590240794E-2</v>
      </c>
      <c r="D1170" s="17">
        <v>0.13002052497355099</v>
      </c>
      <c r="E1170" s="17">
        <v>5.85088291281297E-2</v>
      </c>
      <c r="F1170" s="17"/>
      <c r="G1170" s="17">
        <v>0.19083051617778801</v>
      </c>
      <c r="H1170" s="17">
        <v>0.13967293566182001</v>
      </c>
      <c r="I1170" s="17">
        <v>0.134133240926637</v>
      </c>
      <c r="J1170" s="17">
        <v>7.5880326064451595E-2</v>
      </c>
      <c r="K1170" s="17">
        <v>6.6077521172779402E-2</v>
      </c>
      <c r="L1170" s="17">
        <v>3.3052810895749102E-2</v>
      </c>
      <c r="M1170" s="17"/>
      <c r="N1170" s="17">
        <v>0.119786571305183</v>
      </c>
      <c r="O1170" s="17">
        <v>9.3400615409422502E-2</v>
      </c>
      <c r="P1170" s="17">
        <v>7.8710209241989099E-2</v>
      </c>
      <c r="Q1170" s="17">
        <v>8.4879835598276596E-2</v>
      </c>
      <c r="R1170" s="17">
        <v>7.6316455831372906E-2</v>
      </c>
      <c r="S1170" s="17">
        <v>5.9484935114891002E-2</v>
      </c>
      <c r="T1170" s="17">
        <v>0.138926238025532</v>
      </c>
      <c r="U1170" s="17">
        <v>0.10833613971266901</v>
      </c>
      <c r="V1170" s="17">
        <v>0.111360471776129</v>
      </c>
      <c r="W1170" s="17"/>
      <c r="X1170" s="17">
        <v>0.124479695458415</v>
      </c>
      <c r="Y1170" s="17">
        <v>7.5995460444829493E-2</v>
      </c>
    </row>
    <row r="1171" spans="2:25" x14ac:dyDescent="0.35">
      <c r="B1171" t="s">
        <v>450</v>
      </c>
      <c r="C1171" s="17">
        <v>0.24112984641250099</v>
      </c>
      <c r="D1171" s="17">
        <v>0.28669493506320798</v>
      </c>
      <c r="E1171" s="17">
        <v>0.197694992558408</v>
      </c>
      <c r="F1171" s="17"/>
      <c r="G1171" s="17">
        <v>0.36196408923935802</v>
      </c>
      <c r="H1171" s="17">
        <v>0.33701737813000199</v>
      </c>
      <c r="I1171" s="17">
        <v>0.30506353028844602</v>
      </c>
      <c r="J1171" s="17">
        <v>0.22020822605399801</v>
      </c>
      <c r="K1171" s="17">
        <v>0.18363065628368899</v>
      </c>
      <c r="L1171" s="17">
        <v>0.15053121397873401</v>
      </c>
      <c r="M1171" s="17"/>
      <c r="N1171" s="17">
        <v>0.317279629430682</v>
      </c>
      <c r="O1171" s="17">
        <v>0.219374115754504</v>
      </c>
      <c r="P1171" s="17">
        <v>0.197761845928139</v>
      </c>
      <c r="Q1171" s="17">
        <v>0.231342139767929</v>
      </c>
      <c r="R1171" s="17">
        <v>0.21381230251143701</v>
      </c>
      <c r="S1171" s="17">
        <v>0.189757736878996</v>
      </c>
      <c r="T1171" s="17">
        <v>0.30340131996221398</v>
      </c>
      <c r="U1171" s="17">
        <v>0.31670060520256099</v>
      </c>
      <c r="V1171" s="17">
        <v>0.19697363448286401</v>
      </c>
      <c r="W1171" s="17"/>
      <c r="X1171" s="17">
        <v>0.29420864072721298</v>
      </c>
      <c r="Y1171" s="17">
        <v>0.21175781840357699</v>
      </c>
    </row>
    <row r="1172" spans="2:25" x14ac:dyDescent="0.35">
      <c r="B1172" t="s">
        <v>451</v>
      </c>
      <c r="C1172" s="17">
        <v>0.56281554155089497</v>
      </c>
      <c r="D1172" s="17">
        <v>0.51193238128641205</v>
      </c>
      <c r="E1172" s="17">
        <v>0.61100456919985302</v>
      </c>
      <c r="F1172" s="17"/>
      <c r="G1172" s="17">
        <v>0.38060464736516503</v>
      </c>
      <c r="H1172" s="17">
        <v>0.452180498722694</v>
      </c>
      <c r="I1172" s="17">
        <v>0.47695230727530302</v>
      </c>
      <c r="J1172" s="17">
        <v>0.598102315393233</v>
      </c>
      <c r="K1172" s="17">
        <v>0.63602650166444896</v>
      </c>
      <c r="L1172" s="17">
        <v>0.67889416409655301</v>
      </c>
      <c r="M1172" s="17"/>
      <c r="N1172" s="17">
        <v>0.46313186167221199</v>
      </c>
      <c r="O1172" s="17">
        <v>0.64505316683143699</v>
      </c>
      <c r="P1172" s="17">
        <v>0.59328895921889802</v>
      </c>
      <c r="Q1172" s="17">
        <v>0.63175796550958496</v>
      </c>
      <c r="R1172" s="17">
        <v>0.63201696243498695</v>
      </c>
      <c r="S1172" s="17">
        <v>0.69719590327008396</v>
      </c>
      <c r="T1172" s="17">
        <v>0.39366514575568501</v>
      </c>
      <c r="U1172" s="17">
        <v>0.40408015346024501</v>
      </c>
      <c r="V1172" s="17">
        <v>0.63727691295029998</v>
      </c>
      <c r="W1172" s="17"/>
      <c r="X1172" s="17">
        <v>0.51814218592272299</v>
      </c>
      <c r="Y1172" s="17">
        <v>0.58753628115517798</v>
      </c>
    </row>
    <row r="1173" spans="2:25" x14ac:dyDescent="0.35">
      <c r="B1173" t="s">
        <v>434</v>
      </c>
      <c r="C1173" s="17">
        <v>0.102787276446363</v>
      </c>
      <c r="D1173" s="17">
        <v>7.1352158676828994E-2</v>
      </c>
      <c r="E1173" s="17">
        <v>0.13279160911360899</v>
      </c>
      <c r="F1173" s="17"/>
      <c r="G1173" s="17">
        <v>6.6600747217688702E-2</v>
      </c>
      <c r="H1173" s="17">
        <v>7.1129187485483997E-2</v>
      </c>
      <c r="I1173" s="17">
        <v>8.3850921509613902E-2</v>
      </c>
      <c r="J1173" s="17">
        <v>0.105809132488317</v>
      </c>
      <c r="K1173" s="17">
        <v>0.114265320879083</v>
      </c>
      <c r="L1173" s="17">
        <v>0.13752181102896399</v>
      </c>
      <c r="M1173" s="17"/>
      <c r="N1173" s="17">
        <v>9.9801937591922907E-2</v>
      </c>
      <c r="O1173" s="17">
        <v>4.2172102004636197E-2</v>
      </c>
      <c r="P1173" s="17">
        <v>0.130238985610973</v>
      </c>
      <c r="Q1173" s="17">
        <v>5.2020059124209699E-2</v>
      </c>
      <c r="R1173" s="17">
        <v>7.7854279222203795E-2</v>
      </c>
      <c r="S1173" s="17">
        <v>5.3561424736029303E-2</v>
      </c>
      <c r="T1173" s="17">
        <v>0.16400729625656901</v>
      </c>
      <c r="U1173" s="17">
        <v>0.170883101624525</v>
      </c>
      <c r="V1173" s="17">
        <v>5.4388980790707801E-2</v>
      </c>
      <c r="W1173" s="17"/>
      <c r="X1173" s="17">
        <v>6.3169477891648895E-2</v>
      </c>
      <c r="Y1173" s="17">
        <v>0.124710439996416</v>
      </c>
    </row>
    <row r="1174" spans="2:25" x14ac:dyDescent="0.35">
      <c r="C1174" s="17"/>
      <c r="D1174" s="17"/>
      <c r="E1174" s="17"/>
      <c r="F1174" s="17"/>
      <c r="G1174" s="17"/>
      <c r="H1174" s="17"/>
      <c r="I1174" s="17"/>
      <c r="J1174" s="17"/>
      <c r="K1174" s="17"/>
      <c r="L1174" s="17"/>
      <c r="M1174" s="17"/>
      <c r="N1174" s="17"/>
      <c r="O1174" s="17"/>
      <c r="P1174" s="17"/>
      <c r="Q1174" s="17"/>
      <c r="R1174" s="17"/>
      <c r="S1174" s="17"/>
      <c r="T1174" s="17"/>
      <c r="U1174" s="17"/>
      <c r="V1174" s="17"/>
      <c r="W1174" s="17"/>
      <c r="X1174" s="17"/>
      <c r="Y1174" s="17"/>
    </row>
    <row r="1175" spans="2:25" x14ac:dyDescent="0.35">
      <c r="B1175" s="6" t="s">
        <v>456</v>
      </c>
      <c r="C1175" s="17"/>
      <c r="D1175" s="17"/>
      <c r="E1175" s="17"/>
      <c r="F1175" s="17"/>
      <c r="G1175" s="17"/>
      <c r="H1175" s="17"/>
      <c r="I1175" s="17"/>
      <c r="J1175" s="17"/>
      <c r="K1175" s="17"/>
      <c r="L1175" s="17"/>
      <c r="M1175" s="17"/>
      <c r="N1175" s="17"/>
      <c r="O1175" s="17"/>
      <c r="P1175" s="17"/>
      <c r="Q1175" s="17"/>
      <c r="R1175" s="17"/>
      <c r="S1175" s="17"/>
      <c r="T1175" s="17"/>
      <c r="U1175" s="17"/>
      <c r="V1175" s="17"/>
      <c r="W1175" s="17"/>
      <c r="X1175" s="17"/>
      <c r="Y1175" s="17"/>
    </row>
    <row r="1176" spans="2:25" x14ac:dyDescent="0.35">
      <c r="B1176" s="24" t="s">
        <v>50</v>
      </c>
      <c r="C1176" s="17"/>
      <c r="D1176" s="17"/>
      <c r="E1176" s="17"/>
      <c r="F1176" s="17"/>
      <c r="G1176" s="17"/>
      <c r="H1176" s="17"/>
      <c r="I1176" s="17"/>
      <c r="J1176" s="17"/>
      <c r="K1176" s="17"/>
      <c r="L1176" s="17"/>
      <c r="M1176" s="17"/>
      <c r="N1176" s="17"/>
      <c r="O1176" s="17"/>
      <c r="P1176" s="17"/>
      <c r="Q1176" s="17"/>
      <c r="R1176" s="17"/>
      <c r="S1176" s="17"/>
      <c r="T1176" s="17"/>
      <c r="U1176" s="17"/>
      <c r="V1176" s="17"/>
      <c r="W1176" s="17"/>
      <c r="X1176" s="17"/>
      <c r="Y1176" s="17"/>
    </row>
    <row r="1177" spans="2:25" x14ac:dyDescent="0.35">
      <c r="B1177" t="s">
        <v>449</v>
      </c>
      <c r="C1177" s="17">
        <v>6.2762528955727495E-2</v>
      </c>
      <c r="D1177" s="17">
        <v>8.7696225065491906E-2</v>
      </c>
      <c r="E1177" s="17">
        <v>3.9003573158010403E-2</v>
      </c>
      <c r="F1177" s="17"/>
      <c r="G1177" s="17">
        <v>0.12164489661092701</v>
      </c>
      <c r="H1177" s="17">
        <v>0.11809828634325301</v>
      </c>
      <c r="I1177" s="17">
        <v>0.105832535506633</v>
      </c>
      <c r="J1177" s="17">
        <v>3.8672143511431702E-2</v>
      </c>
      <c r="K1177" s="17">
        <v>3.4140861175017599E-2</v>
      </c>
      <c r="L1177" s="17">
        <v>1.57658153247974E-2</v>
      </c>
      <c r="M1177" s="17"/>
      <c r="N1177" s="17">
        <v>8.0481398708566104E-2</v>
      </c>
      <c r="O1177" s="17">
        <v>3.93525327631511E-2</v>
      </c>
      <c r="P1177" s="17">
        <v>5.3833992026803099E-2</v>
      </c>
      <c r="Q1177" s="17">
        <v>6.8339316726487603E-2</v>
      </c>
      <c r="R1177" s="17">
        <v>5.7284595426747E-2</v>
      </c>
      <c r="S1177" s="17">
        <v>4.0516863380458297E-2</v>
      </c>
      <c r="T1177" s="17">
        <v>7.77451927344677E-2</v>
      </c>
      <c r="U1177" s="17">
        <v>6.9420868479068407E-2</v>
      </c>
      <c r="V1177" s="17">
        <v>8.8608350517078202E-2</v>
      </c>
      <c r="W1177" s="17"/>
      <c r="X1177" s="17">
        <v>9.0953150083266501E-2</v>
      </c>
      <c r="Y1177" s="17">
        <v>4.71627828794009E-2</v>
      </c>
    </row>
    <row r="1178" spans="2:25" x14ac:dyDescent="0.35">
      <c r="B1178" t="s">
        <v>450</v>
      </c>
      <c r="C1178" s="17">
        <v>0.1710511632825</v>
      </c>
      <c r="D1178" s="17">
        <v>0.218652658957492</v>
      </c>
      <c r="E1178" s="17">
        <v>0.12600022446110601</v>
      </c>
      <c r="F1178" s="17"/>
      <c r="G1178" s="17">
        <v>0.27591261094022002</v>
      </c>
      <c r="H1178" s="17">
        <v>0.26613638560380298</v>
      </c>
      <c r="I1178" s="17">
        <v>0.23426923180179099</v>
      </c>
      <c r="J1178" s="17">
        <v>0.16939553224755399</v>
      </c>
      <c r="K1178" s="17">
        <v>0.12419878132401301</v>
      </c>
      <c r="L1178" s="17">
        <v>6.7157413094145801E-2</v>
      </c>
      <c r="M1178" s="17"/>
      <c r="N1178" s="17">
        <v>0.173467407359602</v>
      </c>
      <c r="O1178" s="17">
        <v>0.22002828966947799</v>
      </c>
      <c r="P1178" s="17">
        <v>0.112437025292868</v>
      </c>
      <c r="Q1178" s="17">
        <v>0.18367222996225199</v>
      </c>
      <c r="R1178" s="17">
        <v>0.18703615473400101</v>
      </c>
      <c r="S1178" s="17">
        <v>0.13905093809274899</v>
      </c>
      <c r="T1178" s="17">
        <v>0.18818119143890699</v>
      </c>
      <c r="U1178" s="17">
        <v>0.22017998137751099</v>
      </c>
      <c r="V1178" s="17">
        <v>0.13463156455901101</v>
      </c>
      <c r="W1178" s="17"/>
      <c r="X1178" s="17">
        <v>0.22517820618092299</v>
      </c>
      <c r="Y1178" s="17">
        <v>0.14109906959652699</v>
      </c>
    </row>
    <row r="1179" spans="2:25" x14ac:dyDescent="0.35">
      <c r="B1179" t="s">
        <v>451</v>
      </c>
      <c r="C1179" s="17">
        <v>0.35718779650048799</v>
      </c>
      <c r="D1179" s="17">
        <v>0.35677008083789102</v>
      </c>
      <c r="E1179" s="17">
        <v>0.35735118693132401</v>
      </c>
      <c r="F1179" s="17"/>
      <c r="G1179" s="17">
        <v>0.30919363567658797</v>
      </c>
      <c r="H1179" s="17">
        <v>0.325542114697495</v>
      </c>
      <c r="I1179" s="17">
        <v>0.33920591493033903</v>
      </c>
      <c r="J1179" s="17">
        <v>0.38891980593330999</v>
      </c>
      <c r="K1179" s="17">
        <v>0.376814201089617</v>
      </c>
      <c r="L1179" s="17">
        <v>0.37071444560453598</v>
      </c>
      <c r="M1179" s="17"/>
      <c r="N1179" s="17">
        <v>0.20646268962004199</v>
      </c>
      <c r="O1179" s="17">
        <v>0.21149704588544099</v>
      </c>
      <c r="P1179" s="17">
        <v>0.38720438698759602</v>
      </c>
      <c r="Q1179" s="17">
        <v>0.40572951390613299</v>
      </c>
      <c r="R1179" s="17">
        <v>0.47180705749521001</v>
      </c>
      <c r="S1179" s="17">
        <v>0.37639036895993999</v>
      </c>
      <c r="T1179" s="17">
        <v>0.293253667397466</v>
      </c>
      <c r="U1179" s="17">
        <v>0.300462199605112</v>
      </c>
      <c r="V1179" s="17">
        <v>0.28043598242343298</v>
      </c>
      <c r="W1179" s="17"/>
      <c r="X1179" s="17">
        <v>0.35937930536440199</v>
      </c>
      <c r="Y1179" s="17">
        <v>0.35597508885398399</v>
      </c>
    </row>
    <row r="1180" spans="2:25" x14ac:dyDescent="0.35">
      <c r="B1180" t="s">
        <v>434</v>
      </c>
      <c r="C1180" s="17">
        <v>0.408998511261284</v>
      </c>
      <c r="D1180" s="17">
        <v>0.33688103513912498</v>
      </c>
      <c r="E1180" s="17">
        <v>0.47764501544956001</v>
      </c>
      <c r="F1180" s="17"/>
      <c r="G1180" s="17">
        <v>0.29324885677226498</v>
      </c>
      <c r="H1180" s="17">
        <v>0.29022321335544798</v>
      </c>
      <c r="I1180" s="17">
        <v>0.32069231776123702</v>
      </c>
      <c r="J1180" s="17">
        <v>0.40301251830770402</v>
      </c>
      <c r="K1180" s="17">
        <v>0.46484615641135302</v>
      </c>
      <c r="L1180" s="17">
        <v>0.54636232597652101</v>
      </c>
      <c r="M1180" s="17"/>
      <c r="N1180" s="17">
        <v>0.53958850431178995</v>
      </c>
      <c r="O1180" s="17">
        <v>0.52912213168193001</v>
      </c>
      <c r="P1180" s="17">
        <v>0.44652459569273301</v>
      </c>
      <c r="Q1180" s="17">
        <v>0.34225893940512803</v>
      </c>
      <c r="R1180" s="17">
        <v>0.28387219234404198</v>
      </c>
      <c r="S1180" s="17">
        <v>0.44404182956685301</v>
      </c>
      <c r="T1180" s="17">
        <v>0.440819948429159</v>
      </c>
      <c r="U1180" s="17">
        <v>0.40993695053830898</v>
      </c>
      <c r="V1180" s="17">
        <v>0.49632410250047798</v>
      </c>
      <c r="W1180" s="17"/>
      <c r="X1180" s="17">
        <v>0.32448933837140798</v>
      </c>
      <c r="Y1180" s="17">
        <v>0.45576305867008798</v>
      </c>
    </row>
    <row r="1181" spans="2:25" x14ac:dyDescent="0.35">
      <c r="C1181" s="17"/>
      <c r="D1181" s="17"/>
      <c r="E1181" s="17"/>
      <c r="F1181" s="17"/>
      <c r="G1181" s="17"/>
      <c r="H1181" s="17"/>
      <c r="I1181" s="17"/>
      <c r="J1181" s="17"/>
      <c r="K1181" s="17"/>
      <c r="L1181" s="17"/>
      <c r="M1181" s="17"/>
      <c r="N1181" s="17"/>
      <c r="O1181" s="17"/>
      <c r="P1181" s="17"/>
      <c r="Q1181" s="17"/>
      <c r="R1181" s="17"/>
      <c r="S1181" s="17"/>
      <c r="T1181" s="17"/>
      <c r="U1181" s="17"/>
      <c r="V1181" s="17"/>
      <c r="W1181" s="17"/>
      <c r="X1181" s="17"/>
      <c r="Y1181" s="17"/>
    </row>
    <row r="1182" spans="2:25" x14ac:dyDescent="0.35">
      <c r="B1182" s="6" t="s">
        <v>457</v>
      </c>
      <c r="C1182" s="17"/>
      <c r="D1182" s="17"/>
      <c r="E1182" s="17"/>
      <c r="F1182" s="17"/>
      <c r="G1182" s="17"/>
      <c r="H1182" s="17"/>
      <c r="I1182" s="17"/>
      <c r="J1182" s="17"/>
      <c r="K1182" s="17"/>
      <c r="L1182" s="17"/>
      <c r="M1182" s="17"/>
      <c r="N1182" s="17"/>
      <c r="O1182" s="17"/>
      <c r="P1182" s="17"/>
      <c r="Q1182" s="17"/>
      <c r="R1182" s="17"/>
      <c r="S1182" s="17"/>
      <c r="T1182" s="17"/>
      <c r="U1182" s="17"/>
      <c r="V1182" s="17"/>
      <c r="W1182" s="17"/>
      <c r="X1182" s="17"/>
      <c r="Y1182" s="17"/>
    </row>
    <row r="1183" spans="2:25" x14ac:dyDescent="0.35">
      <c r="B1183" s="24" t="s">
        <v>50</v>
      </c>
      <c r="C1183" s="17"/>
      <c r="D1183" s="17"/>
      <c r="E1183" s="17"/>
      <c r="F1183" s="17"/>
      <c r="G1183" s="17"/>
      <c r="H1183" s="17"/>
      <c r="I1183" s="17"/>
      <c r="J1183" s="17"/>
      <c r="K1183" s="17"/>
      <c r="L1183" s="17"/>
      <c r="M1183" s="17"/>
      <c r="N1183" s="17"/>
      <c r="O1183" s="17"/>
      <c r="P1183" s="17"/>
      <c r="Q1183" s="17"/>
      <c r="R1183" s="17"/>
      <c r="S1183" s="17"/>
      <c r="T1183" s="17"/>
      <c r="U1183" s="17"/>
      <c r="V1183" s="17"/>
      <c r="W1183" s="17"/>
      <c r="X1183" s="17"/>
      <c r="Y1183" s="17"/>
    </row>
    <row r="1184" spans="2:25" x14ac:dyDescent="0.35">
      <c r="B1184" t="s">
        <v>449</v>
      </c>
      <c r="C1184" s="17">
        <v>0.11667979035399</v>
      </c>
      <c r="D1184" s="17">
        <v>0.158260360503853</v>
      </c>
      <c r="E1184" s="17">
        <v>7.7156079435981198E-2</v>
      </c>
      <c r="F1184" s="17"/>
      <c r="G1184" s="17">
        <v>0.25592153213420998</v>
      </c>
      <c r="H1184" s="17">
        <v>0.199430454978335</v>
      </c>
      <c r="I1184" s="17">
        <v>0.168270801390807</v>
      </c>
      <c r="J1184" s="17">
        <v>0.104214913995921</v>
      </c>
      <c r="K1184" s="17">
        <v>5.71855527983074E-2</v>
      </c>
      <c r="L1184" s="17">
        <v>3.0459208035548899E-2</v>
      </c>
      <c r="M1184" s="17"/>
      <c r="N1184" s="17">
        <v>0.149853834870179</v>
      </c>
      <c r="O1184" s="17">
        <v>8.7443335377885803E-2</v>
      </c>
      <c r="P1184" s="17">
        <v>9.8691713698693506E-2</v>
      </c>
      <c r="Q1184" s="17">
        <v>0.10345297689961599</v>
      </c>
      <c r="R1184" s="17">
        <v>0.10441522283929</v>
      </c>
      <c r="S1184" s="17">
        <v>7.9163169300349903E-2</v>
      </c>
      <c r="T1184" s="17">
        <v>0.13358654568853801</v>
      </c>
      <c r="U1184" s="17">
        <v>0.16031465487857199</v>
      </c>
      <c r="V1184" s="17">
        <v>0.16434595855337</v>
      </c>
      <c r="W1184" s="17"/>
      <c r="X1184" s="17">
        <v>0.145910819078787</v>
      </c>
      <c r="Y1184" s="17">
        <v>0.100504317540049</v>
      </c>
    </row>
    <row r="1185" spans="2:25" x14ac:dyDescent="0.35">
      <c r="B1185" t="s">
        <v>450</v>
      </c>
      <c r="C1185" s="17">
        <v>0.30368146356178199</v>
      </c>
      <c r="D1185" s="17">
        <v>0.35062055516282498</v>
      </c>
      <c r="E1185" s="17">
        <v>0.25899696196747402</v>
      </c>
      <c r="F1185" s="17"/>
      <c r="G1185" s="17">
        <v>0.42670770643613298</v>
      </c>
      <c r="H1185" s="17">
        <v>0.413510166237615</v>
      </c>
      <c r="I1185" s="17">
        <v>0.38167347463141799</v>
      </c>
      <c r="J1185" s="17">
        <v>0.31355791809428502</v>
      </c>
      <c r="K1185" s="17">
        <v>0.264428339909902</v>
      </c>
      <c r="L1185" s="17">
        <v>0.161940621412071</v>
      </c>
      <c r="M1185" s="17"/>
      <c r="N1185" s="17">
        <v>0.305593615216463</v>
      </c>
      <c r="O1185" s="17">
        <v>0.493157230765011</v>
      </c>
      <c r="P1185" s="17">
        <v>0.264785351617562</v>
      </c>
      <c r="Q1185" s="17">
        <v>0.29587244254452799</v>
      </c>
      <c r="R1185" s="17">
        <v>0.28906180180380397</v>
      </c>
      <c r="S1185" s="17">
        <v>0.26241569500849199</v>
      </c>
      <c r="T1185" s="17">
        <v>0.27993810197450603</v>
      </c>
      <c r="U1185" s="17">
        <v>0.38007407920382802</v>
      </c>
      <c r="V1185" s="17">
        <v>0.33242221806899602</v>
      </c>
      <c r="W1185" s="17"/>
      <c r="X1185" s="17">
        <v>0.36534993420726503</v>
      </c>
      <c r="Y1185" s="17">
        <v>0.26955619620308802</v>
      </c>
    </row>
    <row r="1186" spans="2:25" x14ac:dyDescent="0.35">
      <c r="B1186" t="s">
        <v>451</v>
      </c>
      <c r="C1186" s="17">
        <v>0.39517841495787898</v>
      </c>
      <c r="D1186" s="17">
        <v>0.35781132902645202</v>
      </c>
      <c r="E1186" s="17">
        <v>0.43080304272340902</v>
      </c>
      <c r="F1186" s="17"/>
      <c r="G1186" s="17">
        <v>0.22180732023083199</v>
      </c>
      <c r="H1186" s="17">
        <v>0.28562587246960502</v>
      </c>
      <c r="I1186" s="17">
        <v>0.33015909583203701</v>
      </c>
      <c r="J1186" s="17">
        <v>0.41369071911319599</v>
      </c>
      <c r="K1186" s="17">
        <v>0.47144412184508999</v>
      </c>
      <c r="L1186" s="17">
        <v>0.50340824837759202</v>
      </c>
      <c r="M1186" s="17"/>
      <c r="N1186" s="17">
        <v>0.28439708129464503</v>
      </c>
      <c r="O1186" s="17">
        <v>0.31746425517081001</v>
      </c>
      <c r="P1186" s="17">
        <v>0.49941089054756499</v>
      </c>
      <c r="Q1186" s="17">
        <v>0.41354970064424101</v>
      </c>
      <c r="R1186" s="17">
        <v>0.48158187127895402</v>
      </c>
      <c r="S1186" s="17">
        <v>0.47243908071456298</v>
      </c>
      <c r="T1186" s="17">
        <v>0.28596611941281302</v>
      </c>
      <c r="U1186" s="17">
        <v>0.265259324156291</v>
      </c>
      <c r="V1186" s="17">
        <v>0.37541524703218199</v>
      </c>
      <c r="W1186" s="17"/>
      <c r="X1186" s="17">
        <v>0.358157923195915</v>
      </c>
      <c r="Y1186" s="17">
        <v>0.41566431587133001</v>
      </c>
    </row>
    <row r="1187" spans="2:25" x14ac:dyDescent="0.35">
      <c r="B1187" t="s">
        <v>434</v>
      </c>
      <c r="C1187" s="17">
        <v>0.18446033112634799</v>
      </c>
      <c r="D1187" s="17">
        <v>0.133307755306871</v>
      </c>
      <c r="E1187" s="17">
        <v>0.233043915873137</v>
      </c>
      <c r="F1187" s="17"/>
      <c r="G1187" s="17">
        <v>9.5563441198824803E-2</v>
      </c>
      <c r="H1187" s="17">
        <v>0.101433506314445</v>
      </c>
      <c r="I1187" s="17">
        <v>0.119896628145739</v>
      </c>
      <c r="J1187" s="17">
        <v>0.16853644879659799</v>
      </c>
      <c r="K1187" s="17">
        <v>0.20694198544670001</v>
      </c>
      <c r="L1187" s="17">
        <v>0.30419192217478802</v>
      </c>
      <c r="M1187" s="17"/>
      <c r="N1187" s="17">
        <v>0.26015546861871403</v>
      </c>
      <c r="O1187" s="17">
        <v>0.101935178686293</v>
      </c>
      <c r="P1187" s="17">
        <v>0.13711204413618</v>
      </c>
      <c r="Q1187" s="17">
        <v>0.187124879911614</v>
      </c>
      <c r="R1187" s="17">
        <v>0.124941104077952</v>
      </c>
      <c r="S1187" s="17">
        <v>0.18598205497659501</v>
      </c>
      <c r="T1187" s="17">
        <v>0.300509232924143</v>
      </c>
      <c r="U1187" s="17">
        <v>0.19435194176130799</v>
      </c>
      <c r="V1187" s="17">
        <v>0.12781657634545199</v>
      </c>
      <c r="W1187" s="17"/>
      <c r="X1187" s="17">
        <v>0.130581323518033</v>
      </c>
      <c r="Y1187" s="17">
        <v>0.21427517038553401</v>
      </c>
    </row>
    <row r="1188" spans="2:25" x14ac:dyDescent="0.35">
      <c r="C1188" s="17"/>
      <c r="D1188" s="17"/>
      <c r="E1188" s="17"/>
      <c r="F1188" s="17"/>
      <c r="G1188" s="17"/>
      <c r="H1188" s="17"/>
      <c r="I1188" s="17"/>
      <c r="J1188" s="17"/>
      <c r="K1188" s="17"/>
      <c r="L1188" s="17"/>
      <c r="M1188" s="17"/>
      <c r="N1188" s="17"/>
      <c r="O1188" s="17"/>
      <c r="P1188" s="17"/>
      <c r="Q1188" s="17"/>
      <c r="R1188" s="17"/>
      <c r="S1188" s="17"/>
      <c r="T1188" s="17"/>
      <c r="U1188" s="17"/>
      <c r="V1188" s="17"/>
      <c r="W1188" s="17"/>
      <c r="X1188" s="17"/>
      <c r="Y1188" s="17"/>
    </row>
    <row r="1189" spans="2:25" x14ac:dyDescent="0.35">
      <c r="B1189" s="6" t="s">
        <v>458</v>
      </c>
      <c r="C1189" s="17"/>
      <c r="D1189" s="17"/>
      <c r="E1189" s="17"/>
      <c r="F1189" s="17"/>
      <c r="G1189" s="17"/>
      <c r="H1189" s="17"/>
      <c r="I1189" s="17"/>
      <c r="J1189" s="17"/>
      <c r="K1189" s="17"/>
      <c r="L1189" s="17"/>
      <c r="M1189" s="17"/>
      <c r="N1189" s="17"/>
      <c r="O1189" s="17"/>
      <c r="P1189" s="17"/>
      <c r="Q1189" s="17"/>
      <c r="R1189" s="17"/>
      <c r="S1189" s="17"/>
      <c r="T1189" s="17"/>
      <c r="U1189" s="17"/>
      <c r="V1189" s="17"/>
      <c r="W1189" s="17"/>
      <c r="X1189" s="17"/>
      <c r="Y1189" s="17"/>
    </row>
    <row r="1190" spans="2:25" x14ac:dyDescent="0.35">
      <c r="B1190" s="24" t="s">
        <v>50</v>
      </c>
      <c r="C1190" s="17"/>
      <c r="D1190" s="17"/>
      <c r="E1190" s="17"/>
      <c r="F1190" s="17"/>
      <c r="G1190" s="17"/>
      <c r="H1190" s="17"/>
      <c r="I1190" s="17"/>
      <c r="J1190" s="17"/>
      <c r="K1190" s="17"/>
      <c r="L1190" s="17"/>
      <c r="M1190" s="17"/>
      <c r="N1190" s="17"/>
      <c r="O1190" s="17"/>
      <c r="P1190" s="17"/>
      <c r="Q1190" s="17"/>
      <c r="R1190" s="17"/>
      <c r="S1190" s="17"/>
      <c r="T1190" s="17"/>
      <c r="U1190" s="17"/>
      <c r="V1190" s="17"/>
      <c r="W1190" s="17"/>
      <c r="X1190" s="17"/>
      <c r="Y1190" s="17"/>
    </row>
    <row r="1191" spans="2:25" x14ac:dyDescent="0.35">
      <c r="B1191" t="s">
        <v>449</v>
      </c>
      <c r="C1191" s="17">
        <v>0.112031527054776</v>
      </c>
      <c r="D1191" s="17">
        <v>0.15400834699437099</v>
      </c>
      <c r="E1191" s="17">
        <v>7.1569004555690596E-2</v>
      </c>
      <c r="F1191" s="17"/>
      <c r="G1191" s="17">
        <v>0.25173775843914797</v>
      </c>
      <c r="H1191" s="17">
        <v>0.189714382471322</v>
      </c>
      <c r="I1191" s="17">
        <v>0.158487947432495</v>
      </c>
      <c r="J1191" s="17">
        <v>9.5177349516663304E-2</v>
      </c>
      <c r="K1191" s="17">
        <v>6.5934985255152206E-2</v>
      </c>
      <c r="L1191" s="17">
        <v>2.6112551483535799E-2</v>
      </c>
      <c r="M1191" s="17"/>
      <c r="N1191" s="17">
        <v>0.118768841179762</v>
      </c>
      <c r="O1191" s="17">
        <v>5.5214975499198203E-2</v>
      </c>
      <c r="P1191" s="17">
        <v>0.10698918009303</v>
      </c>
      <c r="Q1191" s="17">
        <v>9.6370716899801701E-2</v>
      </c>
      <c r="R1191" s="17">
        <v>0.110288908167353</v>
      </c>
      <c r="S1191" s="17">
        <v>6.6810412962647794E-2</v>
      </c>
      <c r="T1191" s="17">
        <v>0.119567647451394</v>
      </c>
      <c r="U1191" s="17">
        <v>0.16091665692426399</v>
      </c>
      <c r="V1191" s="17">
        <v>0.164151423414889</v>
      </c>
      <c r="W1191" s="17"/>
      <c r="X1191" s="17">
        <v>0.15113118593045899</v>
      </c>
      <c r="Y1191" s="17">
        <v>9.0395084658841204E-2</v>
      </c>
    </row>
    <row r="1192" spans="2:25" x14ac:dyDescent="0.35">
      <c r="B1192" t="s">
        <v>450</v>
      </c>
      <c r="C1192" s="17">
        <v>0.29109376828953498</v>
      </c>
      <c r="D1192" s="17">
        <v>0.33417063679632503</v>
      </c>
      <c r="E1192" s="17">
        <v>0.25022756781349098</v>
      </c>
      <c r="F1192" s="17"/>
      <c r="G1192" s="17">
        <v>0.389436011388065</v>
      </c>
      <c r="H1192" s="17">
        <v>0.40197610377496401</v>
      </c>
      <c r="I1192" s="17">
        <v>0.365815986560377</v>
      </c>
      <c r="J1192" s="17">
        <v>0.31100898615327699</v>
      </c>
      <c r="K1192" s="17">
        <v>0.23130359972013601</v>
      </c>
      <c r="L1192" s="17">
        <v>0.16667058177397001</v>
      </c>
      <c r="M1192" s="17"/>
      <c r="N1192" s="17">
        <v>0.23092346109450701</v>
      </c>
      <c r="O1192" s="17">
        <v>0.31227787440598698</v>
      </c>
      <c r="P1192" s="17">
        <v>0.28086772104066898</v>
      </c>
      <c r="Q1192" s="17">
        <v>0.28188269455791798</v>
      </c>
      <c r="R1192" s="17">
        <v>0.29023522815917902</v>
      </c>
      <c r="S1192" s="17">
        <v>0.20951211655865601</v>
      </c>
      <c r="T1192" s="17">
        <v>0.30858649033180202</v>
      </c>
      <c r="U1192" s="17">
        <v>0.37781821191227399</v>
      </c>
      <c r="V1192" s="17">
        <v>0.30526685119762398</v>
      </c>
      <c r="W1192" s="17"/>
      <c r="X1192" s="17">
        <v>0.35433375984527099</v>
      </c>
      <c r="Y1192" s="17">
        <v>0.25609887386435298</v>
      </c>
    </row>
    <row r="1193" spans="2:25" x14ac:dyDescent="0.35">
      <c r="B1193" t="s">
        <v>451</v>
      </c>
      <c r="C1193" s="17">
        <v>0.384285229235585</v>
      </c>
      <c r="D1193" s="17">
        <v>0.35133888205238201</v>
      </c>
      <c r="E1193" s="17">
        <v>0.41628072115333897</v>
      </c>
      <c r="F1193" s="17"/>
      <c r="G1193" s="17">
        <v>0.22019262336554599</v>
      </c>
      <c r="H1193" s="17">
        <v>0.26395349080356201</v>
      </c>
      <c r="I1193" s="17">
        <v>0.33004827825653998</v>
      </c>
      <c r="J1193" s="17">
        <v>0.39756406728666299</v>
      </c>
      <c r="K1193" s="17">
        <v>0.467821256236711</v>
      </c>
      <c r="L1193" s="17">
        <v>0.48731766433004198</v>
      </c>
      <c r="M1193" s="17"/>
      <c r="N1193" s="17">
        <v>0.23775342249644099</v>
      </c>
      <c r="O1193" s="17">
        <v>0.31742813642144102</v>
      </c>
      <c r="P1193" s="17">
        <v>0.48206106480877398</v>
      </c>
      <c r="Q1193" s="17">
        <v>0.39838055786322202</v>
      </c>
      <c r="R1193" s="17">
        <v>0.477039336451062</v>
      </c>
      <c r="S1193" s="17">
        <v>0.41450156596232002</v>
      </c>
      <c r="T1193" s="17">
        <v>0.30112329079351102</v>
      </c>
      <c r="U1193" s="17">
        <v>0.28072434977740901</v>
      </c>
      <c r="V1193" s="17">
        <v>0.37492047809552198</v>
      </c>
      <c r="W1193" s="17"/>
      <c r="X1193" s="17">
        <v>0.34520823388770899</v>
      </c>
      <c r="Y1193" s="17">
        <v>0.405909130393873</v>
      </c>
    </row>
    <row r="1194" spans="2:25" x14ac:dyDescent="0.35">
      <c r="B1194" t="s">
        <v>434</v>
      </c>
      <c r="C1194" s="17">
        <v>0.21258947542010401</v>
      </c>
      <c r="D1194" s="17">
        <v>0.160482134156921</v>
      </c>
      <c r="E1194" s="17">
        <v>0.26192270647748001</v>
      </c>
      <c r="F1194" s="17"/>
      <c r="G1194" s="17">
        <v>0.13863360680724099</v>
      </c>
      <c r="H1194" s="17">
        <v>0.14435602295015099</v>
      </c>
      <c r="I1194" s="17">
        <v>0.14564778775058801</v>
      </c>
      <c r="J1194" s="17">
        <v>0.19624959704339601</v>
      </c>
      <c r="K1194" s="17">
        <v>0.23494015878800101</v>
      </c>
      <c r="L1194" s="17">
        <v>0.31989920241245201</v>
      </c>
      <c r="M1194" s="17"/>
      <c r="N1194" s="17">
        <v>0.41255427522929</v>
      </c>
      <c r="O1194" s="17">
        <v>0.31507901367337399</v>
      </c>
      <c r="P1194" s="17">
        <v>0.130082034057526</v>
      </c>
      <c r="Q1194" s="17">
        <v>0.223366030679058</v>
      </c>
      <c r="R1194" s="17">
        <v>0.122436527222407</v>
      </c>
      <c r="S1194" s="17">
        <v>0.309175904516377</v>
      </c>
      <c r="T1194" s="17">
        <v>0.27072257142329298</v>
      </c>
      <c r="U1194" s="17">
        <v>0.18054078138605301</v>
      </c>
      <c r="V1194" s="17">
        <v>0.15566124729196501</v>
      </c>
      <c r="W1194" s="17"/>
      <c r="X1194" s="17">
        <v>0.149326820336561</v>
      </c>
      <c r="Y1194" s="17">
        <v>0.247596911082933</v>
      </c>
    </row>
    <row r="1195" spans="2:25" x14ac:dyDescent="0.35">
      <c r="C1195" s="17"/>
      <c r="D1195" s="17"/>
      <c r="E1195" s="17"/>
      <c r="F1195" s="17"/>
      <c r="G1195" s="17"/>
      <c r="H1195" s="17"/>
      <c r="I1195" s="17"/>
      <c r="J1195" s="17"/>
      <c r="K1195" s="17"/>
      <c r="L1195" s="17"/>
      <c r="M1195" s="17"/>
      <c r="N1195" s="17"/>
      <c r="O1195" s="17"/>
      <c r="P1195" s="17"/>
      <c r="Q1195" s="17"/>
      <c r="R1195" s="17"/>
      <c r="S1195" s="17"/>
      <c r="T1195" s="17"/>
      <c r="U1195" s="17"/>
      <c r="V1195" s="17"/>
      <c r="W1195" s="17"/>
      <c r="X1195" s="17"/>
      <c r="Y1195" s="17"/>
    </row>
    <row r="1196" spans="2:25" x14ac:dyDescent="0.35">
      <c r="B1196" s="6" t="s">
        <v>459</v>
      </c>
      <c r="C1196" s="17"/>
      <c r="D1196" s="17"/>
      <c r="E1196" s="17"/>
      <c r="F1196" s="17"/>
      <c r="G1196" s="17"/>
      <c r="H1196" s="17"/>
      <c r="I1196" s="17"/>
      <c r="J1196" s="17"/>
      <c r="K1196" s="17"/>
      <c r="L1196" s="17"/>
      <c r="M1196" s="17"/>
      <c r="N1196" s="17"/>
      <c r="O1196" s="17"/>
      <c r="P1196" s="17"/>
      <c r="Q1196" s="17"/>
      <c r="R1196" s="17"/>
      <c r="S1196" s="17"/>
      <c r="T1196" s="17"/>
      <c r="U1196" s="17"/>
      <c r="V1196" s="17"/>
      <c r="W1196" s="17"/>
      <c r="X1196" s="17"/>
      <c r="Y1196" s="17"/>
    </row>
    <row r="1197" spans="2:25" x14ac:dyDescent="0.35">
      <c r="B1197" s="24" t="s">
        <v>50</v>
      </c>
      <c r="C1197" s="17"/>
      <c r="D1197" s="17"/>
      <c r="E1197" s="17"/>
      <c r="F1197" s="17"/>
      <c r="G1197" s="17"/>
      <c r="H1197" s="17"/>
      <c r="I1197" s="17"/>
      <c r="J1197" s="17"/>
      <c r="K1197" s="17"/>
      <c r="L1197" s="17"/>
      <c r="M1197" s="17"/>
      <c r="N1197" s="17"/>
      <c r="O1197" s="17"/>
      <c r="P1197" s="17"/>
      <c r="Q1197" s="17"/>
      <c r="R1197" s="17"/>
      <c r="S1197" s="17"/>
      <c r="T1197" s="17"/>
      <c r="U1197" s="17"/>
      <c r="V1197" s="17"/>
      <c r="W1197" s="17"/>
      <c r="X1197" s="17"/>
      <c r="Y1197" s="17"/>
    </row>
    <row r="1198" spans="2:25" x14ac:dyDescent="0.35">
      <c r="B1198" t="s">
        <v>449</v>
      </c>
      <c r="C1198" s="17">
        <v>9.3918297891739499E-2</v>
      </c>
      <c r="D1198" s="17">
        <v>0.12463269119998401</v>
      </c>
      <c r="E1198" s="17">
        <v>6.4561450912145102E-2</v>
      </c>
      <c r="F1198" s="17"/>
      <c r="G1198" s="17">
        <v>0.18886240276637201</v>
      </c>
      <c r="H1198" s="17">
        <v>0.15495100775926901</v>
      </c>
      <c r="I1198" s="17">
        <v>0.132122796499582</v>
      </c>
      <c r="J1198" s="17">
        <v>8.3432134500709298E-2</v>
      </c>
      <c r="K1198" s="17">
        <v>6.0007035142831198E-2</v>
      </c>
      <c r="L1198" s="17">
        <v>2.74350922698633E-2</v>
      </c>
      <c r="M1198" s="17"/>
      <c r="N1198" s="17">
        <v>0.12962085103214699</v>
      </c>
      <c r="O1198" s="17">
        <v>9.16475247198585E-2</v>
      </c>
      <c r="P1198" s="17">
        <v>7.6158352706933594E-2</v>
      </c>
      <c r="Q1198" s="17">
        <v>8.5586332610855798E-2</v>
      </c>
      <c r="R1198" s="17">
        <v>6.2552106516553005E-2</v>
      </c>
      <c r="S1198" s="17">
        <v>6.6256788425477803E-2</v>
      </c>
      <c r="T1198" s="17">
        <v>0.134634923619879</v>
      </c>
      <c r="U1198" s="17">
        <v>0.124341126258056</v>
      </c>
      <c r="V1198" s="17">
        <v>0.110900705184551</v>
      </c>
      <c r="W1198" s="17"/>
      <c r="X1198" s="17">
        <v>0.13455520705024199</v>
      </c>
      <c r="Y1198" s="17">
        <v>7.1431192647360101E-2</v>
      </c>
    </row>
    <row r="1199" spans="2:25" x14ac:dyDescent="0.35">
      <c r="B1199" t="s">
        <v>450</v>
      </c>
      <c r="C1199" s="17">
        <v>0.286540964773837</v>
      </c>
      <c r="D1199" s="17">
        <v>0.33144567217571602</v>
      </c>
      <c r="E1199" s="17">
        <v>0.24397696186291501</v>
      </c>
      <c r="F1199" s="17"/>
      <c r="G1199" s="17">
        <v>0.38063227383057202</v>
      </c>
      <c r="H1199" s="17">
        <v>0.377019635789623</v>
      </c>
      <c r="I1199" s="17">
        <v>0.35039105176003599</v>
      </c>
      <c r="J1199" s="17">
        <v>0.30427181360007499</v>
      </c>
      <c r="K1199" s="17">
        <v>0.23276882243785799</v>
      </c>
      <c r="L1199" s="17">
        <v>0.18028387540183</v>
      </c>
      <c r="M1199" s="17"/>
      <c r="N1199" s="17">
        <v>0.31811438894270899</v>
      </c>
      <c r="O1199" s="17">
        <v>0.40527847026834402</v>
      </c>
      <c r="P1199" s="17">
        <v>0.20225451203741801</v>
      </c>
      <c r="Q1199" s="17">
        <v>0.34342127933053901</v>
      </c>
      <c r="R1199" s="17">
        <v>0.26661647436720098</v>
      </c>
      <c r="S1199" s="17">
        <v>0.193099527404969</v>
      </c>
      <c r="T1199" s="17">
        <v>0.33452148584355001</v>
      </c>
      <c r="U1199" s="17">
        <v>0.35769151376202402</v>
      </c>
      <c r="V1199" s="17">
        <v>0.265180977349809</v>
      </c>
      <c r="W1199" s="17"/>
      <c r="X1199" s="17">
        <v>0.33998119865430498</v>
      </c>
      <c r="Y1199" s="17">
        <v>0.25696892820808598</v>
      </c>
    </row>
    <row r="1200" spans="2:25" x14ac:dyDescent="0.35">
      <c r="B1200" t="s">
        <v>451</v>
      </c>
      <c r="C1200" s="17">
        <v>0.43797340538069501</v>
      </c>
      <c r="D1200" s="17">
        <v>0.40236320306658002</v>
      </c>
      <c r="E1200" s="17">
        <v>0.471503329063098</v>
      </c>
      <c r="F1200" s="17"/>
      <c r="G1200" s="17">
        <v>0.29874801836310599</v>
      </c>
      <c r="H1200" s="17">
        <v>0.35511304125386201</v>
      </c>
      <c r="I1200" s="17">
        <v>0.39518087053675299</v>
      </c>
      <c r="J1200" s="17">
        <v>0.46014474679926898</v>
      </c>
      <c r="K1200" s="17">
        <v>0.49669983729864498</v>
      </c>
      <c r="L1200" s="17">
        <v>0.51248151715883905</v>
      </c>
      <c r="M1200" s="17"/>
      <c r="N1200" s="17">
        <v>0.300094062431838</v>
      </c>
      <c r="O1200" s="17">
        <v>0.35971461016830503</v>
      </c>
      <c r="P1200" s="17">
        <v>0.488902878225214</v>
      </c>
      <c r="Q1200" s="17">
        <v>0.452237358411127</v>
      </c>
      <c r="R1200" s="17">
        <v>0.52875329610630495</v>
      </c>
      <c r="S1200" s="17">
        <v>0.56184633040724596</v>
      </c>
      <c r="T1200" s="17">
        <v>0.348658135655732</v>
      </c>
      <c r="U1200" s="17">
        <v>0.31187922621745601</v>
      </c>
      <c r="V1200" s="17">
        <v>0.388847984271251</v>
      </c>
      <c r="W1200" s="17"/>
      <c r="X1200" s="17">
        <v>0.40430330907741902</v>
      </c>
      <c r="Y1200" s="17">
        <v>0.45660530959877799</v>
      </c>
    </row>
    <row r="1201" spans="2:25" x14ac:dyDescent="0.35">
      <c r="B1201" t="s">
        <v>434</v>
      </c>
      <c r="C1201" s="17">
        <v>0.18156733195372901</v>
      </c>
      <c r="D1201" s="17">
        <v>0.14155843355771999</v>
      </c>
      <c r="E1201" s="17">
        <v>0.219958258161842</v>
      </c>
      <c r="F1201" s="17"/>
      <c r="G1201" s="17">
        <v>0.13175730503995001</v>
      </c>
      <c r="H1201" s="17">
        <v>0.112916315197246</v>
      </c>
      <c r="I1201" s="17">
        <v>0.12230528120362801</v>
      </c>
      <c r="J1201" s="17">
        <v>0.15215130509994701</v>
      </c>
      <c r="K1201" s="17">
        <v>0.210524305120666</v>
      </c>
      <c r="L1201" s="17">
        <v>0.27979951516946699</v>
      </c>
      <c r="M1201" s="17"/>
      <c r="N1201" s="17">
        <v>0.25217069759330601</v>
      </c>
      <c r="O1201" s="17">
        <v>0.143359394843493</v>
      </c>
      <c r="P1201" s="17">
        <v>0.23268425703043399</v>
      </c>
      <c r="Q1201" s="17">
        <v>0.118755029647478</v>
      </c>
      <c r="R1201" s="17">
        <v>0.14207812300994099</v>
      </c>
      <c r="S1201" s="17">
        <v>0.17879735376230799</v>
      </c>
      <c r="T1201" s="17">
        <v>0.18218545488083901</v>
      </c>
      <c r="U1201" s="17">
        <v>0.20608813376246499</v>
      </c>
      <c r="V1201" s="17">
        <v>0.235070333194388</v>
      </c>
      <c r="W1201" s="17"/>
      <c r="X1201" s="17">
        <v>0.121160285218033</v>
      </c>
      <c r="Y1201" s="17">
        <v>0.214994569545776</v>
      </c>
    </row>
    <row r="1202" spans="2:25" x14ac:dyDescent="0.35">
      <c r="C1202" s="17"/>
      <c r="D1202" s="17"/>
      <c r="E1202" s="17"/>
      <c r="F1202" s="17"/>
      <c r="G1202" s="17"/>
      <c r="H1202" s="17"/>
      <c r="I1202" s="17"/>
      <c r="J1202" s="17"/>
      <c r="K1202" s="17"/>
      <c r="L1202" s="17"/>
      <c r="M1202" s="17"/>
      <c r="N1202" s="17"/>
      <c r="O1202" s="17"/>
      <c r="P1202" s="17"/>
      <c r="Q1202" s="17"/>
      <c r="R1202" s="17"/>
      <c r="S1202" s="17"/>
      <c r="T1202" s="17"/>
      <c r="U1202" s="17"/>
      <c r="V1202" s="17"/>
      <c r="W1202" s="17"/>
      <c r="X1202" s="17"/>
      <c r="Y1202" s="17"/>
    </row>
    <row r="1203" spans="2:25" x14ac:dyDescent="0.35">
      <c r="B1203" s="6" t="s">
        <v>460</v>
      </c>
      <c r="C1203" s="17"/>
      <c r="D1203" s="17"/>
      <c r="E1203" s="17"/>
      <c r="F1203" s="17"/>
      <c r="G1203" s="17"/>
      <c r="H1203" s="17"/>
      <c r="I1203" s="17"/>
      <c r="J1203" s="17"/>
      <c r="K1203" s="17"/>
      <c r="L1203" s="17"/>
      <c r="M1203" s="17"/>
      <c r="N1203" s="17"/>
      <c r="O1203" s="17"/>
      <c r="P1203" s="17"/>
      <c r="Q1203" s="17"/>
      <c r="R1203" s="17"/>
      <c r="S1203" s="17"/>
      <c r="T1203" s="17"/>
      <c r="U1203" s="17"/>
      <c r="V1203" s="17"/>
      <c r="W1203" s="17"/>
      <c r="X1203" s="17"/>
      <c r="Y1203" s="17"/>
    </row>
    <row r="1204" spans="2:25" x14ac:dyDescent="0.35">
      <c r="B1204" s="24" t="s">
        <v>50</v>
      </c>
      <c r="C1204" s="17"/>
      <c r="D1204" s="17"/>
      <c r="E1204" s="17"/>
      <c r="F1204" s="17"/>
      <c r="G1204" s="17"/>
      <c r="H1204" s="17"/>
      <c r="I1204" s="17"/>
      <c r="J1204" s="17"/>
      <c r="K1204" s="17"/>
      <c r="L1204" s="17"/>
      <c r="M1204" s="17"/>
      <c r="N1204" s="17"/>
      <c r="O1204" s="17"/>
      <c r="P1204" s="17"/>
      <c r="Q1204" s="17"/>
      <c r="R1204" s="17"/>
      <c r="S1204" s="17"/>
      <c r="T1204" s="17"/>
      <c r="U1204" s="17"/>
      <c r="V1204" s="17"/>
      <c r="W1204" s="17"/>
      <c r="X1204" s="17"/>
      <c r="Y1204" s="17"/>
    </row>
    <row r="1205" spans="2:25" x14ac:dyDescent="0.35">
      <c r="B1205" t="s">
        <v>449</v>
      </c>
      <c r="C1205" s="17">
        <v>9.5991093768635904E-2</v>
      </c>
      <c r="D1205" s="17">
        <v>0.12729132365571</v>
      </c>
      <c r="E1205" s="17">
        <v>6.6909138547713798E-2</v>
      </c>
      <c r="F1205" s="17"/>
      <c r="G1205" s="17">
        <v>0.163213304498114</v>
      </c>
      <c r="H1205" s="17">
        <v>0.15018593031140201</v>
      </c>
      <c r="I1205" s="17">
        <v>0.13150466829107901</v>
      </c>
      <c r="J1205" s="17">
        <v>8.3281155303072701E-2</v>
      </c>
      <c r="K1205" s="17">
        <v>6.8703986256498706E-2</v>
      </c>
      <c r="L1205" s="17">
        <v>4.2757986303368002E-2</v>
      </c>
      <c r="M1205" s="17"/>
      <c r="N1205" s="17">
        <v>0.106882287011798</v>
      </c>
      <c r="O1205" s="17">
        <v>4.5469925627695501E-2</v>
      </c>
      <c r="P1205" s="17">
        <v>7.0007230618683899E-2</v>
      </c>
      <c r="Q1205" s="17">
        <v>0.109805152739787</v>
      </c>
      <c r="R1205" s="17">
        <v>6.3154155041110299E-2</v>
      </c>
      <c r="S1205" s="17">
        <v>6.0547466354830999E-2</v>
      </c>
      <c r="T1205" s="17">
        <v>0.170006727743648</v>
      </c>
      <c r="U1205" s="17">
        <v>0.11046407325718299</v>
      </c>
      <c r="V1205" s="17">
        <v>9.5129846547910499E-2</v>
      </c>
      <c r="W1205" s="17"/>
      <c r="X1205" s="17">
        <v>0.12317528791073799</v>
      </c>
      <c r="Y1205" s="17">
        <v>8.0948270696813304E-2</v>
      </c>
    </row>
    <row r="1206" spans="2:25" x14ac:dyDescent="0.35">
      <c r="B1206" t="s">
        <v>450</v>
      </c>
      <c r="C1206" s="17">
        <v>0.290644363382833</v>
      </c>
      <c r="D1206" s="17">
        <v>0.327439327159046</v>
      </c>
      <c r="E1206" s="17">
        <v>0.25591540201063101</v>
      </c>
      <c r="F1206" s="17"/>
      <c r="G1206" s="17">
        <v>0.35350764998954698</v>
      </c>
      <c r="H1206" s="17">
        <v>0.336590708533066</v>
      </c>
      <c r="I1206" s="17">
        <v>0.32102142883743301</v>
      </c>
      <c r="J1206" s="17">
        <v>0.29711480128562601</v>
      </c>
      <c r="K1206" s="17">
        <v>0.24116022046160501</v>
      </c>
      <c r="L1206" s="17">
        <v>0.24871485533861101</v>
      </c>
      <c r="M1206" s="17"/>
      <c r="N1206" s="17">
        <v>0.259228177710142</v>
      </c>
      <c r="O1206" s="17">
        <v>0.36037363413105999</v>
      </c>
      <c r="P1206" s="17">
        <v>0.19390476415691399</v>
      </c>
      <c r="Q1206" s="17">
        <v>0.328145320327766</v>
      </c>
      <c r="R1206" s="17">
        <v>0.24816015599461799</v>
      </c>
      <c r="S1206" s="17">
        <v>0.203299126048884</v>
      </c>
      <c r="T1206" s="17">
        <v>0.42492311522446402</v>
      </c>
      <c r="U1206" s="17">
        <v>0.35999092472139999</v>
      </c>
      <c r="V1206" s="17">
        <v>0.235404549320649</v>
      </c>
      <c r="W1206" s="17"/>
      <c r="X1206" s="17">
        <v>0.34296933774330901</v>
      </c>
      <c r="Y1206" s="17">
        <v>0.26168947410313897</v>
      </c>
    </row>
    <row r="1207" spans="2:25" x14ac:dyDescent="0.35">
      <c r="B1207" t="s">
        <v>451</v>
      </c>
      <c r="C1207" s="17">
        <v>0.48932075731823499</v>
      </c>
      <c r="D1207" s="17">
        <v>0.45595907474872199</v>
      </c>
      <c r="E1207" s="17">
        <v>0.51993717578372101</v>
      </c>
      <c r="F1207" s="17"/>
      <c r="G1207" s="17">
        <v>0.39723633411414</v>
      </c>
      <c r="H1207" s="17">
        <v>0.409746253107164</v>
      </c>
      <c r="I1207" s="17">
        <v>0.46213065417737098</v>
      </c>
      <c r="J1207" s="17">
        <v>0.49234748910029302</v>
      </c>
      <c r="K1207" s="17">
        <v>0.55766632085625401</v>
      </c>
      <c r="L1207" s="17">
        <v>0.54108306174566601</v>
      </c>
      <c r="M1207" s="17"/>
      <c r="N1207" s="17">
        <v>0.46533580662152901</v>
      </c>
      <c r="O1207" s="17">
        <v>0.48496975969558498</v>
      </c>
      <c r="P1207" s="17">
        <v>0.57094113007845504</v>
      </c>
      <c r="Q1207" s="17">
        <v>0.48489259106972599</v>
      </c>
      <c r="R1207" s="17">
        <v>0.59743613140524399</v>
      </c>
      <c r="S1207" s="17">
        <v>0.60626749190545204</v>
      </c>
      <c r="T1207" s="17">
        <v>0.30859237355121999</v>
      </c>
      <c r="U1207" s="17">
        <v>0.359759541558341</v>
      </c>
      <c r="V1207" s="17">
        <v>0.52534117651317003</v>
      </c>
      <c r="W1207" s="17"/>
      <c r="X1207" s="17">
        <v>0.45748297825124301</v>
      </c>
      <c r="Y1207" s="17">
        <v>0.50693871851292804</v>
      </c>
    </row>
    <row r="1208" spans="2:25" x14ac:dyDescent="0.35">
      <c r="B1208" t="s">
        <v>434</v>
      </c>
      <c r="C1208" s="17">
        <v>0.12404378553029501</v>
      </c>
      <c r="D1208" s="17">
        <v>8.9310274436522299E-2</v>
      </c>
      <c r="E1208" s="17">
        <v>0.15723828365793399</v>
      </c>
      <c r="F1208" s="17"/>
      <c r="G1208" s="17">
        <v>8.6042711398199495E-2</v>
      </c>
      <c r="H1208" s="17">
        <v>0.103477108048368</v>
      </c>
      <c r="I1208" s="17">
        <v>8.5343248694116997E-2</v>
      </c>
      <c r="J1208" s="17">
        <v>0.12725655431100799</v>
      </c>
      <c r="K1208" s="17">
        <v>0.132469472425642</v>
      </c>
      <c r="L1208" s="17">
        <v>0.16744409661235499</v>
      </c>
      <c r="M1208" s="17"/>
      <c r="N1208" s="17">
        <v>0.16855372865653101</v>
      </c>
      <c r="O1208" s="17">
        <v>0.109186680545659</v>
      </c>
      <c r="P1208" s="17">
        <v>0.165146875145947</v>
      </c>
      <c r="Q1208" s="17">
        <v>7.7156935862721501E-2</v>
      </c>
      <c r="R1208" s="17">
        <v>9.1249557559027403E-2</v>
      </c>
      <c r="S1208" s="17">
        <v>0.12988591569083199</v>
      </c>
      <c r="T1208" s="17">
        <v>9.6477783480667198E-2</v>
      </c>
      <c r="U1208" s="17">
        <v>0.16978546046307599</v>
      </c>
      <c r="V1208" s="17">
        <v>0.14412442761827099</v>
      </c>
      <c r="W1208" s="17"/>
      <c r="X1208" s="17">
        <v>7.6372396094710998E-2</v>
      </c>
      <c r="Y1208" s="17">
        <v>0.15042353668712</v>
      </c>
    </row>
    <row r="1209" spans="2:25" x14ac:dyDescent="0.35">
      <c r="C1209" s="17"/>
      <c r="D1209" s="17"/>
      <c r="E1209" s="17"/>
      <c r="F1209" s="17"/>
      <c r="G1209" s="17"/>
      <c r="H1209" s="17"/>
      <c r="I1209" s="17"/>
      <c r="J1209" s="17"/>
      <c r="K1209" s="17"/>
      <c r="L1209" s="17"/>
      <c r="M1209" s="17"/>
      <c r="N1209" s="17"/>
      <c r="O1209" s="17"/>
      <c r="P1209" s="17"/>
      <c r="Q1209" s="17"/>
      <c r="R1209" s="17"/>
      <c r="S1209" s="17"/>
      <c r="T1209" s="17"/>
      <c r="U1209" s="17"/>
      <c r="V1209" s="17"/>
      <c r="W1209" s="17"/>
      <c r="X1209" s="17"/>
      <c r="Y1209" s="17"/>
    </row>
    <row r="1210" spans="2:25" x14ac:dyDescent="0.35">
      <c r="B1210" s="6" t="s">
        <v>461</v>
      </c>
      <c r="C1210" s="17"/>
      <c r="D1210" s="17"/>
      <c r="E1210" s="17"/>
      <c r="F1210" s="17"/>
      <c r="G1210" s="17"/>
      <c r="H1210" s="17"/>
      <c r="I1210" s="17"/>
      <c r="J1210" s="17"/>
      <c r="K1210" s="17"/>
      <c r="L1210" s="17"/>
      <c r="M1210" s="17"/>
      <c r="N1210" s="17"/>
      <c r="O1210" s="17"/>
      <c r="P1210" s="17"/>
      <c r="Q1210" s="17"/>
      <c r="R1210" s="17"/>
      <c r="S1210" s="17"/>
      <c r="T1210" s="17"/>
      <c r="U1210" s="17"/>
      <c r="V1210" s="17"/>
      <c r="W1210" s="17"/>
      <c r="X1210" s="17"/>
      <c r="Y1210" s="17"/>
    </row>
    <row r="1211" spans="2:25" x14ac:dyDescent="0.35">
      <c r="B1211" s="24" t="s">
        <v>50</v>
      </c>
      <c r="C1211" s="17"/>
      <c r="D1211" s="17"/>
      <c r="E1211" s="17"/>
      <c r="F1211" s="17"/>
      <c r="G1211" s="17"/>
      <c r="H1211" s="17"/>
      <c r="I1211" s="17"/>
      <c r="J1211" s="17"/>
      <c r="K1211" s="17"/>
      <c r="L1211" s="17"/>
      <c r="M1211" s="17"/>
      <c r="N1211" s="17"/>
      <c r="O1211" s="17"/>
      <c r="P1211" s="17"/>
      <c r="Q1211" s="17"/>
      <c r="R1211" s="17"/>
      <c r="S1211" s="17"/>
      <c r="T1211" s="17"/>
      <c r="U1211" s="17"/>
      <c r="V1211" s="17"/>
      <c r="W1211" s="17"/>
      <c r="X1211" s="17"/>
      <c r="Y1211" s="17"/>
    </row>
    <row r="1212" spans="2:25" x14ac:dyDescent="0.35">
      <c r="B1212" t="s">
        <v>449</v>
      </c>
      <c r="C1212" s="17">
        <v>0.14675347425537699</v>
      </c>
      <c r="D1212" s="17">
        <v>0.17083889326013499</v>
      </c>
      <c r="E1212" s="17">
        <v>0.123872707661578</v>
      </c>
      <c r="F1212" s="17"/>
      <c r="G1212" s="17">
        <v>0.298537189306675</v>
      </c>
      <c r="H1212" s="17">
        <v>0.224614085704292</v>
      </c>
      <c r="I1212" s="17">
        <v>0.187376360348911</v>
      </c>
      <c r="J1212" s="17">
        <v>0.129298265718857</v>
      </c>
      <c r="K1212" s="17">
        <v>0.100342819070981</v>
      </c>
      <c r="L1212" s="17">
        <v>6.0594079425907901E-2</v>
      </c>
      <c r="M1212" s="17"/>
      <c r="N1212" s="17">
        <v>0.39653445589414199</v>
      </c>
      <c r="O1212" s="17">
        <v>0.165252573622854</v>
      </c>
      <c r="P1212" s="17">
        <v>0.10149731299973699</v>
      </c>
      <c r="Q1212" s="17">
        <v>0.13464681506116399</v>
      </c>
      <c r="R1212" s="17">
        <v>6.8781063515103102E-2</v>
      </c>
      <c r="S1212" s="17">
        <v>0.10042769724443</v>
      </c>
      <c r="T1212" s="17">
        <v>0.22554533839916299</v>
      </c>
      <c r="U1212" s="17">
        <v>0.18271693249719501</v>
      </c>
      <c r="V1212" s="17">
        <v>0.17442577794943001</v>
      </c>
      <c r="W1212" s="17"/>
      <c r="X1212" s="17">
        <v>0.186292934900576</v>
      </c>
      <c r="Y1212" s="17">
        <v>0.124873660282159</v>
      </c>
    </row>
    <row r="1213" spans="2:25" x14ac:dyDescent="0.35">
      <c r="B1213" t="s">
        <v>450</v>
      </c>
      <c r="C1213" s="17">
        <v>0.30801308239476</v>
      </c>
      <c r="D1213" s="17">
        <v>0.33934061767503798</v>
      </c>
      <c r="E1213" s="17">
        <v>0.27793844512276999</v>
      </c>
      <c r="F1213" s="17"/>
      <c r="G1213" s="17">
        <v>0.37772046093152301</v>
      </c>
      <c r="H1213" s="17">
        <v>0.39728535995960101</v>
      </c>
      <c r="I1213" s="17">
        <v>0.36056877447700098</v>
      </c>
      <c r="J1213" s="17">
        <v>0.32022800437065702</v>
      </c>
      <c r="K1213" s="17">
        <v>0.241378254856528</v>
      </c>
      <c r="L1213" s="17">
        <v>0.231025152142875</v>
      </c>
      <c r="M1213" s="17"/>
      <c r="N1213" s="17">
        <v>0.32900921213672901</v>
      </c>
      <c r="O1213" s="17">
        <v>0.47565237665007398</v>
      </c>
      <c r="P1213" s="17">
        <v>0.24170475560143201</v>
      </c>
      <c r="Q1213" s="17">
        <v>0.36122182100105299</v>
      </c>
      <c r="R1213" s="17">
        <v>0.25109325792856002</v>
      </c>
      <c r="S1213" s="17">
        <v>0.22254392255831401</v>
      </c>
      <c r="T1213" s="17">
        <v>0.38705633368602999</v>
      </c>
      <c r="U1213" s="17">
        <v>0.34201366802913002</v>
      </c>
      <c r="V1213" s="17">
        <v>0.31964401827112998</v>
      </c>
      <c r="W1213" s="17"/>
      <c r="X1213" s="17">
        <v>0.37226791909120299</v>
      </c>
      <c r="Y1213" s="17">
        <v>0.27245660663973797</v>
      </c>
    </row>
    <row r="1214" spans="2:25" x14ac:dyDescent="0.35">
      <c r="B1214" t="s">
        <v>451</v>
      </c>
      <c r="C1214" s="17">
        <v>0.37927581599641103</v>
      </c>
      <c r="D1214" s="17">
        <v>0.35266496348131199</v>
      </c>
      <c r="E1214" s="17">
        <v>0.40445283949869798</v>
      </c>
      <c r="F1214" s="17"/>
      <c r="G1214" s="17">
        <v>0.23754551740117699</v>
      </c>
      <c r="H1214" s="17">
        <v>0.26832498374152502</v>
      </c>
      <c r="I1214" s="17">
        <v>0.332651667758185</v>
      </c>
      <c r="J1214" s="17">
        <v>0.40982381964931303</v>
      </c>
      <c r="K1214" s="17">
        <v>0.453440942973238</v>
      </c>
      <c r="L1214" s="17">
        <v>0.45791682464779798</v>
      </c>
      <c r="M1214" s="17"/>
      <c r="N1214" s="17">
        <v>0.17561457890512699</v>
      </c>
      <c r="O1214" s="17">
        <v>0.26378834763813302</v>
      </c>
      <c r="P1214" s="17">
        <v>0.43623327865710199</v>
      </c>
      <c r="Q1214" s="17">
        <v>0.394962835073779</v>
      </c>
      <c r="R1214" s="17">
        <v>0.441346083545754</v>
      </c>
      <c r="S1214" s="17">
        <v>0.57432740728760201</v>
      </c>
      <c r="T1214" s="17">
        <v>0.216222508704006</v>
      </c>
      <c r="U1214" s="17">
        <v>0.306132107423712</v>
      </c>
      <c r="V1214" s="17">
        <v>0.30976353583258598</v>
      </c>
      <c r="W1214" s="17"/>
      <c r="X1214" s="17">
        <v>0.33505436051569099</v>
      </c>
      <c r="Y1214" s="17">
        <v>0.403746489186046</v>
      </c>
    </row>
    <row r="1215" spans="2:25" x14ac:dyDescent="0.35">
      <c r="B1215" t="s">
        <v>434</v>
      </c>
      <c r="C1215" s="17">
        <v>0.16595762735345199</v>
      </c>
      <c r="D1215" s="17">
        <v>0.13715552558351499</v>
      </c>
      <c r="E1215" s="17">
        <v>0.19373600771695301</v>
      </c>
      <c r="F1215" s="17"/>
      <c r="G1215" s="17">
        <v>8.61968323606251E-2</v>
      </c>
      <c r="H1215" s="17">
        <v>0.109775570594582</v>
      </c>
      <c r="I1215" s="17">
        <v>0.119403197415903</v>
      </c>
      <c r="J1215" s="17">
        <v>0.14064991026117299</v>
      </c>
      <c r="K1215" s="17">
        <v>0.204837983099253</v>
      </c>
      <c r="L1215" s="17">
        <v>0.25046394378341902</v>
      </c>
      <c r="M1215" s="17"/>
      <c r="N1215" s="17">
        <v>9.8841753064002294E-2</v>
      </c>
      <c r="O1215" s="17">
        <v>9.5306702088938502E-2</v>
      </c>
      <c r="P1215" s="17">
        <v>0.22056465274172901</v>
      </c>
      <c r="Q1215" s="17">
        <v>0.10916852886400299</v>
      </c>
      <c r="R1215" s="17">
        <v>0.23877959501058299</v>
      </c>
      <c r="S1215" s="17">
        <v>0.10270097290965401</v>
      </c>
      <c r="T1215" s="17">
        <v>0.17117581921080099</v>
      </c>
      <c r="U1215" s="17">
        <v>0.169137292049963</v>
      </c>
      <c r="V1215" s="17">
        <v>0.196166667946854</v>
      </c>
      <c r="W1215" s="17"/>
      <c r="X1215" s="17">
        <v>0.10638478549253</v>
      </c>
      <c r="Y1215" s="17">
        <v>0.19892324389205701</v>
      </c>
    </row>
    <row r="1216" spans="2:25" x14ac:dyDescent="0.35">
      <c r="C1216" s="17"/>
      <c r="D1216" s="17"/>
      <c r="E1216" s="17"/>
      <c r="F1216" s="17"/>
      <c r="G1216" s="17"/>
      <c r="H1216" s="17"/>
      <c r="I1216" s="17"/>
      <c r="J1216" s="17"/>
      <c r="K1216" s="17"/>
      <c r="L1216" s="17"/>
      <c r="M1216" s="17"/>
      <c r="N1216" s="17"/>
      <c r="O1216" s="17"/>
      <c r="P1216" s="17"/>
      <c r="Q1216" s="17"/>
      <c r="R1216" s="17"/>
      <c r="S1216" s="17"/>
      <c r="T1216" s="17"/>
      <c r="U1216" s="17"/>
      <c r="V1216" s="17"/>
      <c r="W1216" s="17"/>
      <c r="X1216" s="17"/>
      <c r="Y1216" s="17"/>
    </row>
    <row r="1217" spans="2:25" x14ac:dyDescent="0.35">
      <c r="B1217" s="6" t="s">
        <v>462</v>
      </c>
      <c r="C1217" s="17"/>
      <c r="D1217" s="17"/>
      <c r="E1217" s="17"/>
      <c r="F1217" s="17"/>
      <c r="G1217" s="17"/>
      <c r="H1217" s="17"/>
      <c r="I1217" s="17"/>
      <c r="J1217" s="17"/>
      <c r="K1217" s="17"/>
      <c r="L1217" s="17"/>
      <c r="M1217" s="17"/>
      <c r="N1217" s="17"/>
      <c r="O1217" s="17"/>
      <c r="P1217" s="17"/>
      <c r="Q1217" s="17"/>
      <c r="R1217" s="17"/>
      <c r="S1217" s="17"/>
      <c r="T1217" s="17"/>
      <c r="U1217" s="17"/>
      <c r="V1217" s="17"/>
      <c r="W1217" s="17"/>
      <c r="X1217" s="17"/>
      <c r="Y1217" s="17"/>
    </row>
    <row r="1218" spans="2:25" x14ac:dyDescent="0.35">
      <c r="B1218" s="24" t="s">
        <v>50</v>
      </c>
      <c r="C1218" s="17"/>
      <c r="D1218" s="17"/>
      <c r="E1218" s="17"/>
      <c r="F1218" s="17"/>
      <c r="G1218" s="17"/>
      <c r="H1218" s="17"/>
      <c r="I1218" s="17"/>
      <c r="J1218" s="17"/>
      <c r="K1218" s="17"/>
      <c r="L1218" s="17"/>
      <c r="M1218" s="17"/>
      <c r="N1218" s="17"/>
      <c r="O1218" s="17"/>
      <c r="P1218" s="17"/>
      <c r="Q1218" s="17"/>
      <c r="R1218" s="17"/>
      <c r="S1218" s="17"/>
      <c r="T1218" s="17"/>
      <c r="U1218" s="17"/>
      <c r="V1218" s="17"/>
      <c r="W1218" s="17"/>
      <c r="X1218" s="17"/>
      <c r="Y1218" s="17"/>
    </row>
    <row r="1219" spans="2:25" x14ac:dyDescent="0.35">
      <c r="B1219" t="s">
        <v>449</v>
      </c>
      <c r="C1219" s="17">
        <v>8.4596626266433106E-2</v>
      </c>
      <c r="D1219" s="17">
        <v>0.130067901864164</v>
      </c>
      <c r="E1219" s="17">
        <v>4.18472724781511E-2</v>
      </c>
      <c r="F1219" s="17"/>
      <c r="G1219" s="17">
        <v>0.199526973344339</v>
      </c>
      <c r="H1219" s="17">
        <v>0.16588842028053</v>
      </c>
      <c r="I1219" s="17">
        <v>0.11814818379797</v>
      </c>
      <c r="J1219" s="17">
        <v>7.0549408123620594E-2</v>
      </c>
      <c r="K1219" s="17">
        <v>3.2509696956119001E-2</v>
      </c>
      <c r="L1219" s="17">
        <v>1.6064193260545701E-2</v>
      </c>
      <c r="M1219" s="17"/>
      <c r="N1219" s="17">
        <v>0.13947788407709499</v>
      </c>
      <c r="O1219" s="17">
        <v>6.4634006692182194E-2</v>
      </c>
      <c r="P1219" s="17">
        <v>6.5122196810248695E-2</v>
      </c>
      <c r="Q1219" s="17">
        <v>8.4771127353199097E-2</v>
      </c>
      <c r="R1219" s="17">
        <v>7.44545729335679E-2</v>
      </c>
      <c r="S1219" s="17">
        <v>7.4007027142037496E-2</v>
      </c>
      <c r="T1219" s="17">
        <v>0.109022766318086</v>
      </c>
      <c r="U1219" s="17">
        <v>8.5313253182904697E-2</v>
      </c>
      <c r="V1219" s="17">
        <v>0.103010249938168</v>
      </c>
      <c r="W1219" s="17"/>
      <c r="X1219" s="17">
        <v>0.115930293925122</v>
      </c>
      <c r="Y1219" s="17">
        <v>6.7257623450420301E-2</v>
      </c>
    </row>
    <row r="1220" spans="2:25" x14ac:dyDescent="0.35">
      <c r="B1220" t="s">
        <v>450</v>
      </c>
      <c r="C1220" s="17">
        <v>0.19990768772282499</v>
      </c>
      <c r="D1220" s="17">
        <v>0.24545609454375</v>
      </c>
      <c r="E1220" s="17">
        <v>0.15691929060080101</v>
      </c>
      <c r="F1220" s="17"/>
      <c r="G1220" s="17">
        <v>0.32403319580545697</v>
      </c>
      <c r="H1220" s="17">
        <v>0.32094368750675201</v>
      </c>
      <c r="I1220" s="17">
        <v>0.29505636940373797</v>
      </c>
      <c r="J1220" s="17">
        <v>0.198704002285676</v>
      </c>
      <c r="K1220" s="17">
        <v>0.118657034037946</v>
      </c>
      <c r="L1220" s="17">
        <v>7.5333205125339295E-2</v>
      </c>
      <c r="M1220" s="17"/>
      <c r="N1220" s="17">
        <v>0.142161920374306</v>
      </c>
      <c r="O1220" s="17">
        <v>0.29039014409776098</v>
      </c>
      <c r="P1220" s="17">
        <v>0.14107546886382699</v>
      </c>
      <c r="Q1220" s="17">
        <v>0.188455208619316</v>
      </c>
      <c r="R1220" s="17">
        <v>0.188519211337901</v>
      </c>
      <c r="S1220" s="17">
        <v>0.17823451501319501</v>
      </c>
      <c r="T1220" s="17">
        <v>0.27546982543715698</v>
      </c>
      <c r="U1220" s="17">
        <v>0.230311813006322</v>
      </c>
      <c r="V1220" s="17">
        <v>0.17749230023883</v>
      </c>
      <c r="W1220" s="17"/>
      <c r="X1220" s="17">
        <v>0.26117367676182202</v>
      </c>
      <c r="Y1220" s="17">
        <v>0.16600514021245</v>
      </c>
    </row>
    <row r="1221" spans="2:25" x14ac:dyDescent="0.35">
      <c r="B1221" t="s">
        <v>451</v>
      </c>
      <c r="C1221" s="17">
        <v>0.48475194600986199</v>
      </c>
      <c r="D1221" s="17">
        <v>0.45974732929741002</v>
      </c>
      <c r="E1221" s="17">
        <v>0.50795740974948</v>
      </c>
      <c r="F1221" s="17"/>
      <c r="G1221" s="17">
        <v>0.33272034301612502</v>
      </c>
      <c r="H1221" s="17">
        <v>0.36568042570485099</v>
      </c>
      <c r="I1221" s="17">
        <v>0.41329468872662101</v>
      </c>
      <c r="J1221" s="17">
        <v>0.52162187865181298</v>
      </c>
      <c r="K1221" s="17">
        <v>0.58513612226664902</v>
      </c>
      <c r="L1221" s="17">
        <v>0.56638517079763295</v>
      </c>
      <c r="M1221" s="17"/>
      <c r="N1221" s="17">
        <v>0.436585281075552</v>
      </c>
      <c r="O1221" s="17">
        <v>0.35902432050481897</v>
      </c>
      <c r="P1221" s="17">
        <v>0.50729962171897303</v>
      </c>
      <c r="Q1221" s="17">
        <v>0.58207055586082901</v>
      </c>
      <c r="R1221" s="17">
        <v>0.53642810797057106</v>
      </c>
      <c r="S1221" s="17">
        <v>0.51955800199477598</v>
      </c>
      <c r="T1221" s="17">
        <v>0.43132006784629601</v>
      </c>
      <c r="U1221" s="17">
        <v>0.36715956700820901</v>
      </c>
      <c r="V1221" s="17">
        <v>0.48604341922884498</v>
      </c>
      <c r="W1221" s="17"/>
      <c r="X1221" s="17">
        <v>0.460756823386682</v>
      </c>
      <c r="Y1221" s="17">
        <v>0.498030043654411</v>
      </c>
    </row>
    <row r="1222" spans="2:25" x14ac:dyDescent="0.35">
      <c r="B1222" t="s">
        <v>434</v>
      </c>
      <c r="C1222" s="17">
        <v>0.23074374000087999</v>
      </c>
      <c r="D1222" s="17">
        <v>0.164728674294676</v>
      </c>
      <c r="E1222" s="17">
        <v>0.29327602717156798</v>
      </c>
      <c r="F1222" s="17"/>
      <c r="G1222" s="17">
        <v>0.14371948783408001</v>
      </c>
      <c r="H1222" s="17">
        <v>0.14748746650786601</v>
      </c>
      <c r="I1222" s="17">
        <v>0.17350075807167101</v>
      </c>
      <c r="J1222" s="17">
        <v>0.20912471093889001</v>
      </c>
      <c r="K1222" s="17">
        <v>0.26369714673928601</v>
      </c>
      <c r="L1222" s="17">
        <v>0.34221743081648198</v>
      </c>
      <c r="M1222" s="17"/>
      <c r="N1222" s="17">
        <v>0.28177491447304698</v>
      </c>
      <c r="O1222" s="17">
        <v>0.28595152870523699</v>
      </c>
      <c r="P1222" s="17">
        <v>0.28650271260695098</v>
      </c>
      <c r="Q1222" s="17">
        <v>0.14470310816665599</v>
      </c>
      <c r="R1222" s="17">
        <v>0.20059810775796</v>
      </c>
      <c r="S1222" s="17">
        <v>0.22820045584999199</v>
      </c>
      <c r="T1222" s="17">
        <v>0.18418734039846099</v>
      </c>
      <c r="U1222" s="17">
        <v>0.31721536680256501</v>
      </c>
      <c r="V1222" s="17">
        <v>0.23345403059415801</v>
      </c>
      <c r="W1222" s="17"/>
      <c r="X1222" s="17">
        <v>0.16213920592637401</v>
      </c>
      <c r="Y1222" s="17">
        <v>0.26870719268271898</v>
      </c>
    </row>
    <row r="1223" spans="2:25" x14ac:dyDescent="0.35">
      <c r="C1223" s="17"/>
      <c r="D1223" s="17"/>
      <c r="E1223" s="17"/>
      <c r="F1223" s="17"/>
      <c r="G1223" s="17"/>
      <c r="H1223" s="17"/>
      <c r="I1223" s="17"/>
      <c r="J1223" s="17"/>
      <c r="K1223" s="17"/>
      <c r="L1223" s="17"/>
      <c r="M1223" s="17"/>
      <c r="N1223" s="17"/>
      <c r="O1223" s="17"/>
      <c r="P1223" s="17"/>
      <c r="Q1223" s="17"/>
      <c r="R1223" s="17"/>
      <c r="S1223" s="17"/>
      <c r="T1223" s="17"/>
      <c r="U1223" s="17"/>
      <c r="V1223" s="17"/>
      <c r="W1223" s="17"/>
      <c r="X1223" s="17"/>
      <c r="Y1223" s="17"/>
    </row>
    <row r="1224" spans="2:25" x14ac:dyDescent="0.35">
      <c r="B1224" s="6" t="s">
        <v>463</v>
      </c>
      <c r="C1224" s="17"/>
      <c r="D1224" s="17"/>
      <c r="E1224" s="17"/>
      <c r="F1224" s="17"/>
      <c r="G1224" s="17"/>
      <c r="H1224" s="17"/>
      <c r="I1224" s="17"/>
      <c r="J1224" s="17"/>
      <c r="K1224" s="17"/>
      <c r="L1224" s="17"/>
      <c r="M1224" s="17"/>
      <c r="N1224" s="17"/>
      <c r="O1224" s="17"/>
      <c r="P1224" s="17"/>
      <c r="Q1224" s="17"/>
      <c r="R1224" s="17"/>
      <c r="S1224" s="17"/>
      <c r="T1224" s="17"/>
      <c r="U1224" s="17"/>
      <c r="V1224" s="17"/>
      <c r="W1224" s="17"/>
      <c r="X1224" s="17"/>
      <c r="Y1224" s="17"/>
    </row>
    <row r="1225" spans="2:25" x14ac:dyDescent="0.35">
      <c r="B1225" s="24" t="s">
        <v>50</v>
      </c>
      <c r="C1225" s="17"/>
      <c r="D1225" s="17"/>
      <c r="E1225" s="17"/>
      <c r="F1225" s="17"/>
      <c r="G1225" s="17"/>
      <c r="H1225" s="17"/>
      <c r="I1225" s="17"/>
      <c r="J1225" s="17"/>
      <c r="K1225" s="17"/>
      <c r="L1225" s="17"/>
      <c r="M1225" s="17"/>
      <c r="N1225" s="17"/>
      <c r="O1225" s="17"/>
      <c r="P1225" s="17"/>
      <c r="Q1225" s="17"/>
      <c r="R1225" s="17"/>
      <c r="S1225" s="17"/>
      <c r="T1225" s="17"/>
      <c r="U1225" s="17"/>
      <c r="V1225" s="17"/>
      <c r="W1225" s="17"/>
      <c r="X1225" s="17"/>
      <c r="Y1225" s="17"/>
    </row>
    <row r="1226" spans="2:25" x14ac:dyDescent="0.35">
      <c r="B1226" t="s">
        <v>449</v>
      </c>
      <c r="C1226" s="17">
        <v>0.184628741187016</v>
      </c>
      <c r="D1226" s="17">
        <v>0.20305778607682601</v>
      </c>
      <c r="E1226" s="17">
        <v>0.166924413012871</v>
      </c>
      <c r="F1226" s="17"/>
      <c r="G1226" s="17">
        <v>0.318596465243218</v>
      </c>
      <c r="H1226" s="17">
        <v>0.28900821820375699</v>
      </c>
      <c r="I1226" s="17">
        <v>0.22763975562406799</v>
      </c>
      <c r="J1226" s="17">
        <v>0.15755101232018001</v>
      </c>
      <c r="K1226" s="17">
        <v>0.13213380158626001</v>
      </c>
      <c r="L1226" s="17">
        <v>9.8449200670146703E-2</v>
      </c>
      <c r="M1226" s="17"/>
      <c r="N1226" s="17">
        <v>0.25004566134197598</v>
      </c>
      <c r="O1226" s="17">
        <v>0.15195389971758999</v>
      </c>
      <c r="P1226" s="17">
        <v>0.124101850157858</v>
      </c>
      <c r="Q1226" s="17">
        <v>0.18958805141868801</v>
      </c>
      <c r="R1226" s="17">
        <v>0.156624601991635</v>
      </c>
      <c r="S1226" s="17">
        <v>0.12047958380118599</v>
      </c>
      <c r="T1226" s="17">
        <v>0.28230939459193</v>
      </c>
      <c r="U1226" s="17">
        <v>0.222470302602605</v>
      </c>
      <c r="V1226" s="17">
        <v>0.196712449563957</v>
      </c>
      <c r="W1226" s="17"/>
      <c r="X1226" s="17">
        <v>0.22648605293839499</v>
      </c>
      <c r="Y1226" s="17">
        <v>0.16146630599961601</v>
      </c>
    </row>
    <row r="1227" spans="2:25" x14ac:dyDescent="0.35">
      <c r="B1227" t="s">
        <v>450</v>
      </c>
      <c r="C1227" s="17">
        <v>0.38987934355652598</v>
      </c>
      <c r="D1227" s="17">
        <v>0.418655169056104</v>
      </c>
      <c r="E1227" s="17">
        <v>0.36227842231107299</v>
      </c>
      <c r="F1227" s="17"/>
      <c r="G1227" s="17">
        <v>0.40959016423553701</v>
      </c>
      <c r="H1227" s="17">
        <v>0.43087309660887102</v>
      </c>
      <c r="I1227" s="17">
        <v>0.43641132157718399</v>
      </c>
      <c r="J1227" s="17">
        <v>0.41690285034833602</v>
      </c>
      <c r="K1227" s="17">
        <v>0.36437804855015399</v>
      </c>
      <c r="L1227" s="17">
        <v>0.326747238121598</v>
      </c>
      <c r="M1227" s="17"/>
      <c r="N1227" s="17">
        <v>0.37981103834181101</v>
      </c>
      <c r="O1227" s="17">
        <v>0.54049015457933902</v>
      </c>
      <c r="P1227" s="17">
        <v>0.30524915554436399</v>
      </c>
      <c r="Q1227" s="17">
        <v>0.424528348750081</v>
      </c>
      <c r="R1227" s="17">
        <v>0.40665034525306198</v>
      </c>
      <c r="S1227" s="17">
        <v>0.31172608601126101</v>
      </c>
      <c r="T1227" s="17">
        <v>0.44863725821582701</v>
      </c>
      <c r="U1227" s="17">
        <v>0.421939791463324</v>
      </c>
      <c r="V1227" s="17">
        <v>0.37138859459983897</v>
      </c>
      <c r="W1227" s="17"/>
      <c r="X1227" s="17">
        <v>0.42284078114319001</v>
      </c>
      <c r="Y1227" s="17">
        <v>0.37163958735050401</v>
      </c>
    </row>
    <row r="1228" spans="2:25" x14ac:dyDescent="0.35">
      <c r="B1228" t="s">
        <v>451</v>
      </c>
      <c r="C1228" s="17">
        <v>0.35386669998438403</v>
      </c>
      <c r="D1228" s="17">
        <v>0.32384282466893</v>
      </c>
      <c r="E1228" s="17">
        <v>0.38271114852159099</v>
      </c>
      <c r="F1228" s="17"/>
      <c r="G1228" s="17">
        <v>0.21690307709277801</v>
      </c>
      <c r="H1228" s="17">
        <v>0.22723004756700299</v>
      </c>
      <c r="I1228" s="17">
        <v>0.28103605882680199</v>
      </c>
      <c r="J1228" s="17">
        <v>0.35722527238106799</v>
      </c>
      <c r="K1228" s="17">
        <v>0.42401757836579101</v>
      </c>
      <c r="L1228" s="17">
        <v>0.47805192796482099</v>
      </c>
      <c r="M1228" s="17"/>
      <c r="N1228" s="17">
        <v>0.23845552763691599</v>
      </c>
      <c r="O1228" s="17">
        <v>0.288639928809307</v>
      </c>
      <c r="P1228" s="17">
        <v>0.47908598450684903</v>
      </c>
      <c r="Q1228" s="17">
        <v>0.33297088964857502</v>
      </c>
      <c r="R1228" s="17">
        <v>0.39587660219632897</v>
      </c>
      <c r="S1228" s="17">
        <v>0.498137555073211</v>
      </c>
      <c r="T1228" s="17">
        <v>0.210551073090601</v>
      </c>
      <c r="U1228" s="17">
        <v>0.24535058045177199</v>
      </c>
      <c r="V1228" s="17">
        <v>0.35044397482863698</v>
      </c>
      <c r="W1228" s="17"/>
      <c r="X1228" s="17">
        <v>0.31025412083144499</v>
      </c>
      <c r="Y1228" s="17">
        <v>0.37800044139581102</v>
      </c>
    </row>
    <row r="1229" spans="2:25" x14ac:dyDescent="0.35">
      <c r="B1229" t="s">
        <v>434</v>
      </c>
      <c r="C1229" s="17">
        <v>7.1625215272073994E-2</v>
      </c>
      <c r="D1229" s="17">
        <v>5.4444220198140401E-2</v>
      </c>
      <c r="E1229" s="17">
        <v>8.8086016154464805E-2</v>
      </c>
      <c r="F1229" s="17"/>
      <c r="G1229" s="17">
        <v>5.4910293428466303E-2</v>
      </c>
      <c r="H1229" s="17">
        <v>5.2888637620369897E-2</v>
      </c>
      <c r="I1229" s="17">
        <v>5.4912863971946002E-2</v>
      </c>
      <c r="J1229" s="17">
        <v>6.83208649504147E-2</v>
      </c>
      <c r="K1229" s="17">
        <v>7.9470571497795101E-2</v>
      </c>
      <c r="L1229" s="17">
        <v>9.6751633243434804E-2</v>
      </c>
      <c r="M1229" s="17"/>
      <c r="N1229" s="17">
        <v>0.13168777267929599</v>
      </c>
      <c r="O1229" s="17">
        <v>1.89160168937633E-2</v>
      </c>
      <c r="P1229" s="17">
        <v>9.1563009790928004E-2</v>
      </c>
      <c r="Q1229" s="17">
        <v>5.29127101826561E-2</v>
      </c>
      <c r="R1229" s="17">
        <v>4.0848450558974E-2</v>
      </c>
      <c r="S1229" s="17">
        <v>6.9656775114342206E-2</v>
      </c>
      <c r="T1229" s="17">
        <v>5.8502274101641903E-2</v>
      </c>
      <c r="U1229" s="17">
        <v>0.11023932548229901</v>
      </c>
      <c r="V1229" s="17">
        <v>8.1454981007566402E-2</v>
      </c>
      <c r="W1229" s="17"/>
      <c r="X1229" s="17">
        <v>4.0419045086969599E-2</v>
      </c>
      <c r="Y1229" s="17">
        <v>8.8893665254068305E-2</v>
      </c>
    </row>
    <row r="1230" spans="2:25" x14ac:dyDescent="0.35">
      <c r="C1230" s="17"/>
      <c r="D1230" s="17"/>
      <c r="E1230" s="17"/>
      <c r="F1230" s="17"/>
      <c r="G1230" s="17"/>
      <c r="H1230" s="17"/>
      <c r="I1230" s="17"/>
      <c r="J1230" s="17"/>
      <c r="K1230" s="17"/>
      <c r="L1230" s="17"/>
      <c r="M1230" s="17"/>
      <c r="N1230" s="17"/>
      <c r="O1230" s="17"/>
      <c r="P1230" s="17"/>
      <c r="Q1230" s="17"/>
      <c r="R1230" s="17"/>
      <c r="S1230" s="17"/>
      <c r="T1230" s="17"/>
      <c r="U1230" s="17"/>
      <c r="V1230" s="17"/>
      <c r="W1230" s="17"/>
      <c r="X1230" s="17"/>
      <c r="Y1230" s="17"/>
    </row>
    <row r="1231" spans="2:25" x14ac:dyDescent="0.35">
      <c r="B1231" s="6" t="s">
        <v>464</v>
      </c>
      <c r="C1231" s="17"/>
      <c r="D1231" s="17"/>
      <c r="E1231" s="17"/>
      <c r="F1231" s="17"/>
      <c r="G1231" s="17"/>
      <c r="H1231" s="17"/>
      <c r="I1231" s="17"/>
      <c r="J1231" s="17"/>
      <c r="K1231" s="17"/>
      <c r="L1231" s="17"/>
      <c r="M1231" s="17"/>
      <c r="N1231" s="17"/>
      <c r="O1231" s="17"/>
      <c r="P1231" s="17"/>
      <c r="Q1231" s="17"/>
      <c r="R1231" s="17"/>
      <c r="S1231" s="17"/>
      <c r="T1231" s="17"/>
      <c r="U1231" s="17"/>
      <c r="V1231" s="17"/>
      <c r="W1231" s="17"/>
      <c r="X1231" s="17"/>
      <c r="Y1231" s="17"/>
    </row>
    <row r="1232" spans="2:25" x14ac:dyDescent="0.35">
      <c r="B1232" s="24" t="s">
        <v>50</v>
      </c>
      <c r="C1232" s="17"/>
      <c r="D1232" s="17"/>
      <c r="E1232" s="17"/>
      <c r="F1232" s="17"/>
      <c r="G1232" s="17"/>
      <c r="H1232" s="17"/>
      <c r="I1232" s="17"/>
      <c r="J1232" s="17"/>
      <c r="K1232" s="17"/>
      <c r="L1232" s="17"/>
      <c r="M1232" s="17"/>
      <c r="N1232" s="17"/>
      <c r="O1232" s="17"/>
      <c r="P1232" s="17"/>
      <c r="Q1232" s="17"/>
      <c r="R1232" s="17"/>
      <c r="S1232" s="17"/>
      <c r="T1232" s="17"/>
      <c r="U1232" s="17"/>
      <c r="V1232" s="17"/>
      <c r="W1232" s="17"/>
      <c r="X1232" s="17"/>
      <c r="Y1232" s="17"/>
    </row>
    <row r="1233" spans="2:25" x14ac:dyDescent="0.35">
      <c r="B1233" t="s">
        <v>449</v>
      </c>
      <c r="C1233" s="17">
        <v>0.119423517994335</v>
      </c>
      <c r="D1233" s="17">
        <v>0.15891496115360601</v>
      </c>
      <c r="E1233" s="17">
        <v>8.1910705662424907E-2</v>
      </c>
      <c r="F1233" s="17"/>
      <c r="G1233" s="17">
        <v>0.24322903476007701</v>
      </c>
      <c r="H1233" s="17">
        <v>0.192881185949449</v>
      </c>
      <c r="I1233" s="17">
        <v>0.150827227023386</v>
      </c>
      <c r="J1233" s="17">
        <v>8.09909334198681E-2</v>
      </c>
      <c r="K1233" s="17">
        <v>9.8941799633736505E-2</v>
      </c>
      <c r="L1233" s="17">
        <v>4.9464199462577997E-2</v>
      </c>
      <c r="M1233" s="17"/>
      <c r="N1233" s="17">
        <v>0.16678130985720499</v>
      </c>
      <c r="O1233" s="17">
        <v>0.16245910574039699</v>
      </c>
      <c r="P1233" s="17">
        <v>8.1050683443164198E-2</v>
      </c>
      <c r="Q1233" s="17">
        <v>0.111422494282174</v>
      </c>
      <c r="R1233" s="17">
        <v>9.3756102245625306E-2</v>
      </c>
      <c r="S1233" s="17">
        <v>8.4552818527338994E-2</v>
      </c>
      <c r="T1233" s="17">
        <v>0.18798085990125399</v>
      </c>
      <c r="U1233" s="17">
        <v>0.13323752274640099</v>
      </c>
      <c r="V1233" s="17">
        <v>0.134148668630272</v>
      </c>
      <c r="W1233" s="17"/>
      <c r="X1233" s="17">
        <v>0.15746921030824501</v>
      </c>
      <c r="Y1233" s="17">
        <v>9.8370305413102696E-2</v>
      </c>
    </row>
    <row r="1234" spans="2:25" x14ac:dyDescent="0.35">
      <c r="B1234" t="s">
        <v>450</v>
      </c>
      <c r="C1234" s="17">
        <v>0.32480517522185398</v>
      </c>
      <c r="D1234" s="17">
        <v>0.35933247108721</v>
      </c>
      <c r="E1234" s="17">
        <v>0.29247329843320002</v>
      </c>
      <c r="F1234" s="17"/>
      <c r="G1234" s="17">
        <v>0.411584694464528</v>
      </c>
      <c r="H1234" s="17">
        <v>0.37104716681343902</v>
      </c>
      <c r="I1234" s="17">
        <v>0.364603740293511</v>
      </c>
      <c r="J1234" s="17">
        <v>0.33168641515578101</v>
      </c>
      <c r="K1234" s="17">
        <v>0.27533135491141603</v>
      </c>
      <c r="L1234" s="17">
        <v>0.26746933900574699</v>
      </c>
      <c r="M1234" s="17"/>
      <c r="N1234" s="17">
        <v>0.34790839819879399</v>
      </c>
      <c r="O1234" s="17">
        <v>0.43869750222760001</v>
      </c>
      <c r="P1234" s="17">
        <v>0.212807653535835</v>
      </c>
      <c r="Q1234" s="17">
        <v>0.33975794710988</v>
      </c>
      <c r="R1234" s="17">
        <v>0.29540624795883502</v>
      </c>
      <c r="S1234" s="17">
        <v>0.28324973466119602</v>
      </c>
      <c r="T1234" s="17">
        <v>0.397219922654587</v>
      </c>
      <c r="U1234" s="17">
        <v>0.37463078713166198</v>
      </c>
      <c r="V1234" s="17">
        <v>0.36920635578135502</v>
      </c>
      <c r="W1234" s="17"/>
      <c r="X1234" s="17">
        <v>0.376348956646196</v>
      </c>
      <c r="Y1234" s="17">
        <v>0.296282571963285</v>
      </c>
    </row>
    <row r="1235" spans="2:25" x14ac:dyDescent="0.35">
      <c r="B1235" t="s">
        <v>451</v>
      </c>
      <c r="C1235" s="17">
        <v>0.44245148540773199</v>
      </c>
      <c r="D1235" s="17">
        <v>0.40177640007446702</v>
      </c>
      <c r="E1235" s="17">
        <v>0.48045299997110502</v>
      </c>
      <c r="F1235" s="17"/>
      <c r="G1235" s="17">
        <v>0.25971662808797602</v>
      </c>
      <c r="H1235" s="17">
        <v>0.35262355566839199</v>
      </c>
      <c r="I1235" s="17">
        <v>0.404279884148666</v>
      </c>
      <c r="J1235" s="17">
        <v>0.48232807240459902</v>
      </c>
      <c r="K1235" s="17">
        <v>0.50007779280389297</v>
      </c>
      <c r="L1235" s="17">
        <v>0.52293735046791701</v>
      </c>
      <c r="M1235" s="17"/>
      <c r="N1235" s="17">
        <v>0.351442094125549</v>
      </c>
      <c r="O1235" s="17">
        <v>0.32002552397276901</v>
      </c>
      <c r="P1235" s="17">
        <v>0.56814816152077996</v>
      </c>
      <c r="Q1235" s="17">
        <v>0.46380305931272098</v>
      </c>
      <c r="R1235" s="17">
        <v>0.50904030035063197</v>
      </c>
      <c r="S1235" s="17">
        <v>0.53563219380328497</v>
      </c>
      <c r="T1235" s="17">
        <v>0.33109513333675</v>
      </c>
      <c r="U1235" s="17">
        <v>0.31061826824150301</v>
      </c>
      <c r="V1235" s="17">
        <v>0.39381217509816502</v>
      </c>
      <c r="W1235" s="17"/>
      <c r="X1235" s="17">
        <v>0.39879215859377298</v>
      </c>
      <c r="Y1235" s="17">
        <v>0.46661109540993201</v>
      </c>
    </row>
    <row r="1236" spans="2:25" x14ac:dyDescent="0.35">
      <c r="B1236" t="s">
        <v>434</v>
      </c>
      <c r="C1236" s="17">
        <v>0.11331982137608</v>
      </c>
      <c r="D1236" s="17">
        <v>7.9976167684717797E-2</v>
      </c>
      <c r="E1236" s="17">
        <v>0.14516299593327101</v>
      </c>
      <c r="F1236" s="17"/>
      <c r="G1236" s="17">
        <v>8.5469642687419398E-2</v>
      </c>
      <c r="H1236" s="17">
        <v>8.3448091568719407E-2</v>
      </c>
      <c r="I1236" s="17">
        <v>8.0289148534436999E-2</v>
      </c>
      <c r="J1236" s="17">
        <v>0.104994579019752</v>
      </c>
      <c r="K1236" s="17">
        <v>0.125649052650954</v>
      </c>
      <c r="L1236" s="17">
        <v>0.16012911106375699</v>
      </c>
      <c r="M1236" s="17"/>
      <c r="N1236" s="17">
        <v>0.13386819781845199</v>
      </c>
      <c r="O1236" s="17">
        <v>7.8817868059232798E-2</v>
      </c>
      <c r="P1236" s="17">
        <v>0.13799350150022099</v>
      </c>
      <c r="Q1236" s="17">
        <v>8.5016499295225104E-2</v>
      </c>
      <c r="R1236" s="17">
        <v>0.10179734944490799</v>
      </c>
      <c r="S1236" s="17">
        <v>9.6565253008180293E-2</v>
      </c>
      <c r="T1236" s="17">
        <v>8.3704084107409205E-2</v>
      </c>
      <c r="U1236" s="17">
        <v>0.18151342188043401</v>
      </c>
      <c r="V1236" s="17">
        <v>0.102832800490207</v>
      </c>
      <c r="W1236" s="17"/>
      <c r="X1236" s="17">
        <v>6.7389674451786397E-2</v>
      </c>
      <c r="Y1236" s="17">
        <v>0.13873602721368</v>
      </c>
    </row>
    <row r="1237" spans="2:25" x14ac:dyDescent="0.35">
      <c r="C1237" s="17"/>
      <c r="D1237" s="17"/>
      <c r="E1237" s="17"/>
      <c r="F1237" s="17"/>
      <c r="G1237" s="17"/>
      <c r="H1237" s="17"/>
      <c r="I1237" s="17"/>
      <c r="J1237" s="17"/>
      <c r="K1237" s="17"/>
      <c r="L1237" s="17"/>
      <c r="M1237" s="17"/>
      <c r="N1237" s="17"/>
      <c r="O1237" s="17"/>
      <c r="P1237" s="17"/>
      <c r="Q1237" s="17"/>
      <c r="R1237" s="17"/>
      <c r="S1237" s="17"/>
      <c r="T1237" s="17"/>
      <c r="U1237" s="17"/>
      <c r="V1237" s="17"/>
      <c r="W1237" s="17"/>
      <c r="X1237" s="17"/>
      <c r="Y1237" s="17"/>
    </row>
    <row r="1238" spans="2:25" x14ac:dyDescent="0.35">
      <c r="B1238" s="6" t="s">
        <v>465</v>
      </c>
      <c r="C1238" s="17"/>
      <c r="D1238" s="17"/>
      <c r="E1238" s="17"/>
      <c r="F1238" s="17"/>
      <c r="G1238" s="17"/>
      <c r="H1238" s="17"/>
      <c r="I1238" s="17"/>
      <c r="J1238" s="17"/>
      <c r="K1238" s="17"/>
      <c r="L1238" s="17"/>
      <c r="M1238" s="17"/>
      <c r="N1238" s="17"/>
      <c r="O1238" s="17"/>
      <c r="P1238" s="17"/>
      <c r="Q1238" s="17"/>
      <c r="R1238" s="17"/>
      <c r="S1238" s="17"/>
      <c r="T1238" s="17"/>
      <c r="U1238" s="17"/>
      <c r="V1238" s="17"/>
      <c r="W1238" s="17"/>
      <c r="X1238" s="17"/>
      <c r="Y1238" s="17"/>
    </row>
    <row r="1239" spans="2:25" x14ac:dyDescent="0.35">
      <c r="B1239" s="24" t="s">
        <v>50</v>
      </c>
      <c r="C1239" s="17"/>
      <c r="D1239" s="17"/>
      <c r="E1239" s="17"/>
      <c r="F1239" s="17"/>
      <c r="G1239" s="17"/>
      <c r="H1239" s="17"/>
      <c r="I1239" s="17"/>
      <c r="J1239" s="17"/>
      <c r="K1239" s="17"/>
      <c r="L1239" s="17"/>
      <c r="M1239" s="17"/>
      <c r="N1239" s="17"/>
      <c r="O1239" s="17"/>
      <c r="P1239" s="17"/>
      <c r="Q1239" s="17"/>
      <c r="R1239" s="17"/>
      <c r="S1239" s="17"/>
      <c r="T1239" s="17"/>
      <c r="U1239" s="17"/>
      <c r="V1239" s="17"/>
      <c r="W1239" s="17"/>
      <c r="X1239" s="17"/>
      <c r="Y1239" s="17"/>
    </row>
    <row r="1240" spans="2:25" x14ac:dyDescent="0.35">
      <c r="B1240" t="s">
        <v>449</v>
      </c>
      <c r="C1240" s="17">
        <v>0.109809959786398</v>
      </c>
      <c r="D1240" s="17">
        <v>0.14385166441790301</v>
      </c>
      <c r="E1240" s="17">
        <v>7.7389066748020693E-2</v>
      </c>
      <c r="F1240" s="17"/>
      <c r="G1240" s="17">
        <v>0.207056532157263</v>
      </c>
      <c r="H1240" s="17">
        <v>0.17209958548162499</v>
      </c>
      <c r="I1240" s="17">
        <v>0.15934738322894701</v>
      </c>
      <c r="J1240" s="17">
        <v>9.6243299940898405E-2</v>
      </c>
      <c r="K1240" s="17">
        <v>7.9681247484227904E-2</v>
      </c>
      <c r="L1240" s="17">
        <v>3.4071593802228899E-2</v>
      </c>
      <c r="M1240" s="17"/>
      <c r="N1240" s="17">
        <v>0.13682254310445099</v>
      </c>
      <c r="O1240" s="17">
        <v>0.10690068319043999</v>
      </c>
      <c r="P1240" s="17">
        <v>4.7368321009553502E-2</v>
      </c>
      <c r="Q1240" s="17">
        <v>0.10615396662760999</v>
      </c>
      <c r="R1240" s="17">
        <v>8.0101851526527504E-2</v>
      </c>
      <c r="S1240" s="17">
        <v>6.9136794784075306E-2</v>
      </c>
      <c r="T1240" s="17">
        <v>0.168225694292964</v>
      </c>
      <c r="U1240" s="17">
        <v>0.17430629636585701</v>
      </c>
      <c r="V1240" s="17">
        <v>0.130096029016882</v>
      </c>
      <c r="W1240" s="17"/>
      <c r="X1240" s="17">
        <v>0.137587575726005</v>
      </c>
      <c r="Y1240" s="17">
        <v>9.4438756956095896E-2</v>
      </c>
    </row>
    <row r="1241" spans="2:25" x14ac:dyDescent="0.35">
      <c r="B1241" t="s">
        <v>450</v>
      </c>
      <c r="C1241" s="17">
        <v>0.256558063550063</v>
      </c>
      <c r="D1241" s="17">
        <v>0.286638121271168</v>
      </c>
      <c r="E1241" s="17">
        <v>0.22869622634139899</v>
      </c>
      <c r="F1241" s="17"/>
      <c r="G1241" s="17">
        <v>0.34847278500269102</v>
      </c>
      <c r="H1241" s="17">
        <v>0.32840866388726703</v>
      </c>
      <c r="I1241" s="17">
        <v>0.30170545073702798</v>
      </c>
      <c r="J1241" s="17">
        <v>0.269091933385667</v>
      </c>
      <c r="K1241" s="17">
        <v>0.22613140816254801</v>
      </c>
      <c r="L1241" s="17">
        <v>0.16232031730424901</v>
      </c>
      <c r="M1241" s="17"/>
      <c r="N1241" s="17">
        <v>0.28447123067841401</v>
      </c>
      <c r="O1241" s="17">
        <v>0.37301780912513299</v>
      </c>
      <c r="P1241" s="17">
        <v>0.16067699382738301</v>
      </c>
      <c r="Q1241" s="17">
        <v>0.263355965220399</v>
      </c>
      <c r="R1241" s="17">
        <v>0.21978489374381199</v>
      </c>
      <c r="S1241" s="17">
        <v>0.235261133383526</v>
      </c>
      <c r="T1241" s="17">
        <v>0.31964780979555901</v>
      </c>
      <c r="U1241" s="17">
        <v>0.31526858623457499</v>
      </c>
      <c r="V1241" s="17">
        <v>0.246514200539729</v>
      </c>
      <c r="W1241" s="17"/>
      <c r="X1241" s="17">
        <v>0.298475706405606</v>
      </c>
      <c r="Y1241" s="17">
        <v>0.233362243149148</v>
      </c>
    </row>
    <row r="1242" spans="2:25" x14ac:dyDescent="0.35">
      <c r="B1242" t="s">
        <v>451</v>
      </c>
      <c r="C1242" s="17">
        <v>0.327937947807449</v>
      </c>
      <c r="D1242" s="17">
        <v>0.29780203924035598</v>
      </c>
      <c r="E1242" s="17">
        <v>0.356176961058079</v>
      </c>
      <c r="F1242" s="17"/>
      <c r="G1242" s="17">
        <v>0.21986013344840799</v>
      </c>
      <c r="H1242" s="17">
        <v>0.26468911853942101</v>
      </c>
      <c r="I1242" s="17">
        <v>0.30452246123193499</v>
      </c>
      <c r="J1242" s="17">
        <v>0.33929244167058598</v>
      </c>
      <c r="K1242" s="17">
        <v>0.36817003640657697</v>
      </c>
      <c r="L1242" s="17">
        <v>0.386380415254788</v>
      </c>
      <c r="M1242" s="17"/>
      <c r="N1242" s="17">
        <v>0.21569910181961099</v>
      </c>
      <c r="O1242" s="17">
        <v>0.22712025080928899</v>
      </c>
      <c r="P1242" s="17">
        <v>0.44541945671586303</v>
      </c>
      <c r="Q1242" s="17">
        <v>0.29749879533195001</v>
      </c>
      <c r="R1242" s="17">
        <v>0.40608651279201802</v>
      </c>
      <c r="S1242" s="17">
        <v>0.44941935153729901</v>
      </c>
      <c r="T1242" s="17">
        <v>0.24959699703882299</v>
      </c>
      <c r="U1242" s="17">
        <v>0.17856070355577</v>
      </c>
      <c r="V1242" s="17">
        <v>0.29039308349216703</v>
      </c>
      <c r="W1242" s="17"/>
      <c r="X1242" s="17">
        <v>0.30278981016383</v>
      </c>
      <c r="Y1242" s="17">
        <v>0.34185408536816803</v>
      </c>
    </row>
    <row r="1243" spans="2:25" x14ac:dyDescent="0.35">
      <c r="B1243" t="s">
        <v>434</v>
      </c>
      <c r="C1243" s="17">
        <v>0.30569402885609098</v>
      </c>
      <c r="D1243" s="17">
        <v>0.27170817507057299</v>
      </c>
      <c r="E1243" s="17">
        <v>0.33773774585250099</v>
      </c>
      <c r="F1243" s="17"/>
      <c r="G1243" s="17">
        <v>0.22461054939163699</v>
      </c>
      <c r="H1243" s="17">
        <v>0.234802632091688</v>
      </c>
      <c r="I1243" s="17">
        <v>0.23442470480208999</v>
      </c>
      <c r="J1243" s="17">
        <v>0.29537232500284899</v>
      </c>
      <c r="K1243" s="17">
        <v>0.32601730794664702</v>
      </c>
      <c r="L1243" s="17">
        <v>0.41722767363873398</v>
      </c>
      <c r="M1243" s="17"/>
      <c r="N1243" s="17">
        <v>0.36300712439752297</v>
      </c>
      <c r="O1243" s="17">
        <v>0.29296125687513802</v>
      </c>
      <c r="P1243" s="17">
        <v>0.34653522844720003</v>
      </c>
      <c r="Q1243" s="17">
        <v>0.33299127282004098</v>
      </c>
      <c r="R1243" s="17">
        <v>0.294026741937643</v>
      </c>
      <c r="S1243" s="17">
        <v>0.24618272029509999</v>
      </c>
      <c r="T1243" s="17">
        <v>0.26252949887265398</v>
      </c>
      <c r="U1243" s="17">
        <v>0.331864413843798</v>
      </c>
      <c r="V1243" s="17">
        <v>0.33299668695122098</v>
      </c>
      <c r="W1243" s="17"/>
      <c r="X1243" s="17">
        <v>0.26114690770455901</v>
      </c>
      <c r="Y1243" s="17">
        <v>0.33034491452658798</v>
      </c>
    </row>
    <row r="1244" spans="2:25" x14ac:dyDescent="0.35">
      <c r="C1244" s="17"/>
      <c r="D1244" s="17"/>
      <c r="E1244" s="17"/>
      <c r="F1244" s="17"/>
      <c r="G1244" s="17"/>
      <c r="H1244" s="17"/>
      <c r="I1244" s="17"/>
      <c r="J1244" s="17"/>
      <c r="K1244" s="17"/>
      <c r="L1244" s="17"/>
      <c r="M1244" s="17"/>
      <c r="N1244" s="17"/>
      <c r="O1244" s="17"/>
      <c r="P1244" s="17"/>
      <c r="Q1244" s="17"/>
      <c r="R1244" s="17"/>
      <c r="S1244" s="17"/>
      <c r="T1244" s="17"/>
      <c r="U1244" s="17"/>
      <c r="V1244" s="17"/>
      <c r="W1244" s="17"/>
      <c r="X1244" s="17"/>
      <c r="Y1244" s="17"/>
    </row>
    <row r="1245" spans="2:25" x14ac:dyDescent="0.35">
      <c r="B1245" s="6" t="s">
        <v>478</v>
      </c>
      <c r="C1245" s="17"/>
      <c r="D1245" s="17"/>
      <c r="E1245" s="17"/>
      <c r="F1245" s="17"/>
      <c r="G1245" s="17"/>
      <c r="H1245" s="17"/>
      <c r="I1245" s="17"/>
      <c r="J1245" s="17"/>
      <c r="K1245" s="17"/>
      <c r="L1245" s="17"/>
      <c r="M1245" s="17"/>
      <c r="N1245" s="17"/>
      <c r="O1245" s="17"/>
      <c r="P1245" s="17"/>
      <c r="Q1245" s="17"/>
      <c r="R1245" s="17"/>
      <c r="S1245" s="17"/>
      <c r="T1245" s="17"/>
      <c r="U1245" s="17"/>
      <c r="V1245" s="17"/>
      <c r="W1245" s="17"/>
      <c r="X1245" s="17"/>
      <c r="Y1245" s="17"/>
    </row>
    <row r="1246" spans="2:25" x14ac:dyDescent="0.35">
      <c r="B1246" s="24" t="s">
        <v>50</v>
      </c>
      <c r="C1246" s="17"/>
      <c r="D1246" s="17"/>
      <c r="E1246" s="17"/>
      <c r="F1246" s="17"/>
      <c r="G1246" s="17"/>
      <c r="H1246" s="17"/>
      <c r="I1246" s="17"/>
      <c r="J1246" s="17"/>
      <c r="K1246" s="17"/>
      <c r="L1246" s="17"/>
      <c r="M1246" s="17"/>
      <c r="N1246" s="17"/>
      <c r="O1246" s="17"/>
      <c r="P1246" s="17"/>
      <c r="Q1246" s="17"/>
      <c r="R1246" s="17"/>
      <c r="S1246" s="17"/>
      <c r="T1246" s="17"/>
      <c r="U1246" s="17"/>
      <c r="V1246" s="17"/>
      <c r="W1246" s="17"/>
      <c r="X1246" s="17"/>
      <c r="Y1246" s="17"/>
    </row>
    <row r="1247" spans="2:25" x14ac:dyDescent="0.35">
      <c r="B1247" t="s">
        <v>466</v>
      </c>
      <c r="C1247" s="17">
        <v>0.51851823819629295</v>
      </c>
      <c r="D1247" s="17">
        <v>0.57499317923787296</v>
      </c>
      <c r="E1247" s="17">
        <v>0.46463279541451102</v>
      </c>
      <c r="F1247" s="17"/>
      <c r="G1247" s="17">
        <v>0.60475338154168801</v>
      </c>
      <c r="H1247" s="17">
        <v>0.55249535330421096</v>
      </c>
      <c r="I1247" s="17">
        <v>0.56217677471158001</v>
      </c>
      <c r="J1247" s="17">
        <v>0.54487145649343505</v>
      </c>
      <c r="K1247" s="17">
        <v>0.49229112992132301</v>
      </c>
      <c r="L1247" s="17">
        <v>0.43756202990812498</v>
      </c>
      <c r="M1247" s="17"/>
      <c r="N1247" s="17">
        <v>0.443845070955184</v>
      </c>
      <c r="O1247" s="17">
        <v>0.43234702397642899</v>
      </c>
      <c r="P1247" s="17">
        <v>0.47525665897694902</v>
      </c>
      <c r="Q1247" s="17">
        <v>0.45966941359045999</v>
      </c>
      <c r="R1247" s="17">
        <v>0.60813038716743895</v>
      </c>
      <c r="S1247" s="17">
        <v>0.43478581131835198</v>
      </c>
      <c r="T1247" s="17">
        <v>0.56752657615340496</v>
      </c>
      <c r="U1247" s="17">
        <v>0.58565677624703905</v>
      </c>
      <c r="V1247" s="17">
        <v>0.54892939050237299</v>
      </c>
      <c r="W1247" s="17"/>
      <c r="X1247" s="17">
        <v>0.58769626114863405</v>
      </c>
      <c r="Y1247" s="17">
        <v>0.48023743596648399</v>
      </c>
    </row>
    <row r="1248" spans="2:25" x14ac:dyDescent="0.35">
      <c r="B1248" t="s">
        <v>467</v>
      </c>
      <c r="C1248" s="17">
        <v>0.438106644230364</v>
      </c>
      <c r="D1248" s="17">
        <v>0.43291752125692701</v>
      </c>
      <c r="E1248" s="17">
        <v>0.44274070064448501</v>
      </c>
      <c r="F1248" s="17"/>
      <c r="G1248" s="17">
        <v>0.526480748597977</v>
      </c>
      <c r="H1248" s="17">
        <v>0.48185882859164703</v>
      </c>
      <c r="I1248" s="17">
        <v>0.46500899854451999</v>
      </c>
      <c r="J1248" s="17">
        <v>0.43744676901318802</v>
      </c>
      <c r="K1248" s="17">
        <v>0.40473125532871002</v>
      </c>
      <c r="L1248" s="17">
        <v>0.384480539242396</v>
      </c>
      <c r="M1248" s="17"/>
      <c r="N1248" s="17">
        <v>0.34171699878480999</v>
      </c>
      <c r="O1248" s="17">
        <v>0.38463068715160598</v>
      </c>
      <c r="P1248" s="17">
        <v>0.38036106747576198</v>
      </c>
      <c r="Q1248" s="17">
        <v>0.45306896249119</v>
      </c>
      <c r="R1248" s="17">
        <v>0.47427194740429501</v>
      </c>
      <c r="S1248" s="17">
        <v>0.28819046232253198</v>
      </c>
      <c r="T1248" s="17">
        <v>0.58156375862722198</v>
      </c>
      <c r="U1248" s="17">
        <v>0.49864155976118102</v>
      </c>
      <c r="V1248" s="17">
        <v>0.395815742762686</v>
      </c>
      <c r="W1248" s="17"/>
      <c r="X1248" s="17">
        <v>0.46048161853490899</v>
      </c>
      <c r="Y1248" s="17">
        <v>0.42572508243234197</v>
      </c>
    </row>
    <row r="1249" spans="2:25" x14ac:dyDescent="0.35">
      <c r="B1249" t="s">
        <v>468</v>
      </c>
      <c r="C1249" s="17">
        <v>0.35669338812668699</v>
      </c>
      <c r="D1249" s="17">
        <v>0.37322206778998401</v>
      </c>
      <c r="E1249" s="17">
        <v>0.34120438056004598</v>
      </c>
      <c r="F1249" s="17"/>
      <c r="G1249" s="17">
        <v>0.421729163963181</v>
      </c>
      <c r="H1249" s="17">
        <v>0.38552421830232703</v>
      </c>
      <c r="I1249" s="17">
        <v>0.38241295047610702</v>
      </c>
      <c r="J1249" s="17">
        <v>0.36520812222423199</v>
      </c>
      <c r="K1249" s="17">
        <v>0.343816094431312</v>
      </c>
      <c r="L1249" s="17">
        <v>0.30158278476448203</v>
      </c>
      <c r="M1249" s="17"/>
      <c r="N1249" s="17">
        <v>0.56499138850216901</v>
      </c>
      <c r="O1249" s="17">
        <v>0.44087804008938902</v>
      </c>
      <c r="P1249" s="17">
        <v>0.25750854545416402</v>
      </c>
      <c r="Q1249" s="17">
        <v>0.40319883926896899</v>
      </c>
      <c r="R1249" s="17">
        <v>0.28426488671834099</v>
      </c>
      <c r="S1249" s="17">
        <v>0.26643880721859198</v>
      </c>
      <c r="T1249" s="17">
        <v>0.46385208209751899</v>
      </c>
      <c r="U1249" s="17">
        <v>0.38792453032817598</v>
      </c>
      <c r="V1249" s="17">
        <v>0.39861379361042598</v>
      </c>
      <c r="W1249" s="17"/>
      <c r="X1249" s="17">
        <v>0.40341473798049499</v>
      </c>
      <c r="Y1249" s="17">
        <v>0.33083935707269901</v>
      </c>
    </row>
    <row r="1250" spans="2:25" x14ac:dyDescent="0.35">
      <c r="B1250" t="s">
        <v>469</v>
      </c>
      <c r="C1250" s="17">
        <v>0.304971675781044</v>
      </c>
      <c r="D1250" s="17">
        <v>0.35190321941469699</v>
      </c>
      <c r="E1250" s="17">
        <v>0.26008280920254001</v>
      </c>
      <c r="F1250" s="17"/>
      <c r="G1250" s="17">
        <v>0.38423138921550398</v>
      </c>
      <c r="H1250" s="17">
        <v>0.35373103216557999</v>
      </c>
      <c r="I1250" s="17">
        <v>0.31842198910980501</v>
      </c>
      <c r="J1250" s="17">
        <v>0.30482394445218902</v>
      </c>
      <c r="K1250" s="17">
        <v>0.293035638873344</v>
      </c>
      <c r="L1250" s="17">
        <v>0.24594036809765399</v>
      </c>
      <c r="M1250" s="17"/>
      <c r="N1250" s="17">
        <v>0.24699235737676001</v>
      </c>
      <c r="O1250" s="17">
        <v>0.19305264954811299</v>
      </c>
      <c r="P1250" s="17">
        <v>0.27185434311219497</v>
      </c>
      <c r="Q1250" s="17">
        <v>0.32047099761815701</v>
      </c>
      <c r="R1250" s="17">
        <v>0.328251847316266</v>
      </c>
      <c r="S1250" s="17">
        <v>0.20698236265751599</v>
      </c>
      <c r="T1250" s="17">
        <v>0.41857082075726998</v>
      </c>
      <c r="U1250" s="17">
        <v>0.29302610529470702</v>
      </c>
      <c r="V1250" s="17">
        <v>0.36689798537687801</v>
      </c>
      <c r="W1250" s="17"/>
      <c r="X1250" s="17">
        <v>0.34482901786574599</v>
      </c>
      <c r="Y1250" s="17">
        <v>0.28291595685999998</v>
      </c>
    </row>
    <row r="1251" spans="2:25" x14ac:dyDescent="0.35">
      <c r="B1251" t="s">
        <v>470</v>
      </c>
      <c r="C1251" s="17">
        <v>0.29511902167938903</v>
      </c>
      <c r="D1251" s="17">
        <v>0.34887552850114301</v>
      </c>
      <c r="E1251" s="17">
        <v>0.24424642560559101</v>
      </c>
      <c r="F1251" s="17"/>
      <c r="G1251" s="17">
        <v>0.37057889748779799</v>
      </c>
      <c r="H1251" s="17">
        <v>0.369108116001653</v>
      </c>
      <c r="I1251" s="17">
        <v>0.34091803668916998</v>
      </c>
      <c r="J1251" s="17">
        <v>0.32516226224969103</v>
      </c>
      <c r="K1251" s="17">
        <v>0.28115310926751202</v>
      </c>
      <c r="L1251" s="17">
        <v>0.182521156594316</v>
      </c>
      <c r="M1251" s="17"/>
      <c r="N1251" s="17">
        <v>0.24989893536574301</v>
      </c>
      <c r="O1251" s="17">
        <v>0.28476479770516899</v>
      </c>
      <c r="P1251" s="17">
        <v>0.236159418661575</v>
      </c>
      <c r="Q1251" s="17">
        <v>0.24328956030632101</v>
      </c>
      <c r="R1251" s="17">
        <v>0.28354627597642701</v>
      </c>
      <c r="S1251" s="17">
        <v>0.24229338848569201</v>
      </c>
      <c r="T1251" s="17">
        <v>0.34023904482601902</v>
      </c>
      <c r="U1251" s="17">
        <v>0.42452689890338402</v>
      </c>
      <c r="V1251" s="17">
        <v>0.32336779791039999</v>
      </c>
      <c r="W1251" s="17"/>
      <c r="X1251" s="17">
        <v>0.34038808358831901</v>
      </c>
      <c r="Y1251" s="17">
        <v>0.27006863816006499</v>
      </c>
    </row>
    <row r="1252" spans="2:25" x14ac:dyDescent="0.35">
      <c r="B1252" t="s">
        <v>471</v>
      </c>
      <c r="C1252" s="17">
        <v>0.252121445919887</v>
      </c>
      <c r="D1252" s="17">
        <v>0.27942985889132699</v>
      </c>
      <c r="E1252" s="17">
        <v>0.22623137450567801</v>
      </c>
      <c r="F1252" s="17"/>
      <c r="G1252" s="17">
        <v>0.199190298652864</v>
      </c>
      <c r="H1252" s="17">
        <v>0.212654386855369</v>
      </c>
      <c r="I1252" s="17">
        <v>0.25609021803534698</v>
      </c>
      <c r="J1252" s="17">
        <v>0.25934855582904198</v>
      </c>
      <c r="K1252" s="17">
        <v>0.26836853358146301</v>
      </c>
      <c r="L1252" s="17">
        <v>0.27700494029225398</v>
      </c>
      <c r="M1252" s="17"/>
      <c r="N1252" s="17">
        <v>0.19427168820431601</v>
      </c>
      <c r="O1252" s="17">
        <v>0.190345180382747</v>
      </c>
      <c r="P1252" s="17">
        <v>0.169065948750385</v>
      </c>
      <c r="Q1252" s="17">
        <v>0.249420126424762</v>
      </c>
      <c r="R1252" s="17">
        <v>0.26792915600001499</v>
      </c>
      <c r="S1252" s="17">
        <v>0.15527194675866801</v>
      </c>
      <c r="T1252" s="17">
        <v>0.41168801616608502</v>
      </c>
      <c r="U1252" s="17">
        <v>0.29520785543669997</v>
      </c>
      <c r="V1252" s="17">
        <v>0.222389597909673</v>
      </c>
      <c r="W1252" s="17"/>
      <c r="X1252" s="17">
        <v>0.285953190054067</v>
      </c>
      <c r="Y1252" s="17">
        <v>0.23340009120319699</v>
      </c>
    </row>
    <row r="1253" spans="2:25" x14ac:dyDescent="0.35">
      <c r="B1253" t="s">
        <v>472</v>
      </c>
      <c r="C1253" s="17">
        <v>0.207328164818736</v>
      </c>
      <c r="D1253" s="17">
        <v>0.26175048368877302</v>
      </c>
      <c r="E1253" s="17">
        <v>0.15584943311352201</v>
      </c>
      <c r="F1253" s="17"/>
      <c r="G1253" s="17">
        <v>0.29404624291054898</v>
      </c>
      <c r="H1253" s="17">
        <v>0.235476604181307</v>
      </c>
      <c r="I1253" s="17">
        <v>0.26108947287004403</v>
      </c>
      <c r="J1253" s="17">
        <v>0.218213902584807</v>
      </c>
      <c r="K1253" s="17">
        <v>0.186852832919541</v>
      </c>
      <c r="L1253" s="17">
        <v>0.129946028514968</v>
      </c>
      <c r="M1253" s="17"/>
      <c r="N1253" s="17">
        <v>0.193879192201142</v>
      </c>
      <c r="O1253" s="17">
        <v>0.107798813910886</v>
      </c>
      <c r="P1253" s="17">
        <v>0.20243150938679499</v>
      </c>
      <c r="Q1253" s="17">
        <v>0.216986191407292</v>
      </c>
      <c r="R1253" s="17">
        <v>0.19970401372399799</v>
      </c>
      <c r="S1253" s="17">
        <v>0.13670248305152799</v>
      </c>
      <c r="T1253" s="17">
        <v>0.26242349956208599</v>
      </c>
      <c r="U1253" s="17">
        <v>0.24093772641326699</v>
      </c>
      <c r="V1253" s="17">
        <v>0.22556279918837899</v>
      </c>
      <c r="W1253" s="17"/>
      <c r="X1253" s="17">
        <v>0.251257612451039</v>
      </c>
      <c r="Y1253" s="17">
        <v>0.18301907899771599</v>
      </c>
    </row>
    <row r="1254" spans="2:25" x14ac:dyDescent="0.35">
      <c r="B1254" t="s">
        <v>473</v>
      </c>
      <c r="C1254" s="17">
        <v>0.19549655574385899</v>
      </c>
      <c r="D1254" s="17">
        <v>0.249916099980626</v>
      </c>
      <c r="E1254" s="17">
        <v>0.14364651711080501</v>
      </c>
      <c r="F1254" s="17"/>
      <c r="G1254" s="17">
        <v>0.28804258667761601</v>
      </c>
      <c r="H1254" s="17">
        <v>0.26729376364401802</v>
      </c>
      <c r="I1254" s="17">
        <v>0.24583766298870599</v>
      </c>
      <c r="J1254" s="17">
        <v>0.218478924349504</v>
      </c>
      <c r="K1254" s="17">
        <v>0.16307022712108701</v>
      </c>
      <c r="L1254" s="17">
        <v>9.1900204379279204E-2</v>
      </c>
      <c r="M1254" s="17"/>
      <c r="N1254" s="17">
        <v>0.161246455902777</v>
      </c>
      <c r="O1254" s="17">
        <v>0.18505562552393401</v>
      </c>
      <c r="P1254" s="17">
        <v>0.20851933450257501</v>
      </c>
      <c r="Q1254" s="17">
        <v>0.16713260962014201</v>
      </c>
      <c r="R1254" s="17">
        <v>0.20021153035182601</v>
      </c>
      <c r="S1254" s="17">
        <v>0.111184888351501</v>
      </c>
      <c r="T1254" s="17">
        <v>0.20415121660118701</v>
      </c>
      <c r="U1254" s="17">
        <v>0.26152288750452202</v>
      </c>
      <c r="V1254" s="17">
        <v>0.268128473282786</v>
      </c>
      <c r="W1254" s="17"/>
      <c r="X1254" s="17">
        <v>0.23087621323962301</v>
      </c>
      <c r="Y1254" s="17">
        <v>0.17591863758787399</v>
      </c>
    </row>
    <row r="1255" spans="2:25" x14ac:dyDescent="0.35">
      <c r="B1255" t="s">
        <v>474</v>
      </c>
      <c r="C1255" s="17">
        <v>0.19135785961697299</v>
      </c>
      <c r="D1255" s="17">
        <v>0.239797319013687</v>
      </c>
      <c r="E1255" s="17">
        <v>0.14512091578319899</v>
      </c>
      <c r="F1255" s="17"/>
      <c r="G1255" s="17">
        <v>0.27637821581559002</v>
      </c>
      <c r="H1255" s="17">
        <v>0.262334286109557</v>
      </c>
      <c r="I1255" s="17">
        <v>0.23713709433446301</v>
      </c>
      <c r="J1255" s="17">
        <v>0.19423627270888</v>
      </c>
      <c r="K1255" s="17">
        <v>0.179192207756247</v>
      </c>
      <c r="L1255" s="17">
        <v>9.4376325725792201E-2</v>
      </c>
      <c r="M1255" s="17"/>
      <c r="N1255" s="17">
        <v>0.12396888909084899</v>
      </c>
      <c r="O1255" s="17">
        <v>0.101444421488097</v>
      </c>
      <c r="P1255" s="17">
        <v>0.21901858161497401</v>
      </c>
      <c r="Q1255" s="17">
        <v>0.142705221666445</v>
      </c>
      <c r="R1255" s="17">
        <v>0.20868438291348801</v>
      </c>
      <c r="S1255" s="17">
        <v>9.9303746598333298E-2</v>
      </c>
      <c r="T1255" s="17">
        <v>0.21706270260059701</v>
      </c>
      <c r="U1255" s="17">
        <v>0.27137226183451102</v>
      </c>
      <c r="V1255" s="17">
        <v>0.24497075155822601</v>
      </c>
      <c r="W1255" s="17"/>
      <c r="X1255" s="17">
        <v>0.238017430548882</v>
      </c>
      <c r="Y1255" s="17">
        <v>0.16553801495036999</v>
      </c>
    </row>
    <row r="1256" spans="2:25" x14ac:dyDescent="0.35">
      <c r="B1256" t="s">
        <v>475</v>
      </c>
      <c r="C1256" s="17">
        <v>0.169905925088014</v>
      </c>
      <c r="D1256" s="17">
        <v>0.20316548011435701</v>
      </c>
      <c r="E1256" s="17">
        <v>0.13778441090888299</v>
      </c>
      <c r="F1256" s="17"/>
      <c r="G1256" s="17">
        <v>0.22838394134001599</v>
      </c>
      <c r="H1256" s="17">
        <v>0.23486985754529499</v>
      </c>
      <c r="I1256" s="17">
        <v>0.21318495250842801</v>
      </c>
      <c r="J1256" s="17">
        <v>0.217568699732475</v>
      </c>
      <c r="K1256" s="17">
        <v>0.152093187077183</v>
      </c>
      <c r="L1256" s="17">
        <v>6.10787817066068E-2</v>
      </c>
      <c r="M1256" s="17"/>
      <c r="N1256" s="17">
        <v>0.19044433371189401</v>
      </c>
      <c r="O1256" s="17">
        <v>0.20037153106544001</v>
      </c>
      <c r="P1256" s="17">
        <v>0.119175295673286</v>
      </c>
      <c r="Q1256" s="17">
        <v>0.154163632820325</v>
      </c>
      <c r="R1256" s="17">
        <v>0.15105014804321401</v>
      </c>
      <c r="S1256" s="17">
        <v>0.107727425660715</v>
      </c>
      <c r="T1256" s="17">
        <v>0.25709278868396701</v>
      </c>
      <c r="U1256" s="17">
        <v>0.22392238979859</v>
      </c>
      <c r="V1256" s="17">
        <v>0.159010810489875</v>
      </c>
      <c r="W1256" s="17"/>
      <c r="X1256" s="17">
        <v>0.220324096751878</v>
      </c>
      <c r="Y1256" s="17">
        <v>0.14200619659211999</v>
      </c>
    </row>
    <row r="1257" spans="2:25" x14ac:dyDescent="0.35">
      <c r="B1257" t="s">
        <v>476</v>
      </c>
      <c r="C1257" s="17">
        <v>0.16387422005970501</v>
      </c>
      <c r="D1257" s="17">
        <v>0.22572190205453799</v>
      </c>
      <c r="E1257" s="17">
        <v>0.105444454323259</v>
      </c>
      <c r="F1257" s="17"/>
      <c r="G1257" s="17">
        <v>0.33417795808823197</v>
      </c>
      <c r="H1257" s="17">
        <v>0.26881246835150102</v>
      </c>
      <c r="I1257" s="17">
        <v>0.217297104563097</v>
      </c>
      <c r="J1257" s="17">
        <v>0.152076091894711</v>
      </c>
      <c r="K1257" s="17">
        <v>0.104117117047494</v>
      </c>
      <c r="L1257" s="17">
        <v>5.15016417902232E-2</v>
      </c>
      <c r="M1257" s="17"/>
      <c r="N1257" s="17">
        <v>0.137653775480684</v>
      </c>
      <c r="O1257" s="17">
        <v>0.17755691799242501</v>
      </c>
      <c r="P1257" s="17">
        <v>0.10682954991516599</v>
      </c>
      <c r="Q1257" s="17">
        <v>0.156316465180489</v>
      </c>
      <c r="R1257" s="17">
        <v>0.171746275073691</v>
      </c>
      <c r="S1257" s="17">
        <v>0.160929546931599</v>
      </c>
      <c r="T1257" s="17">
        <v>0.216307472252182</v>
      </c>
      <c r="U1257" s="17">
        <v>0.16467174723441899</v>
      </c>
      <c r="V1257" s="17">
        <v>0.18595240181822401</v>
      </c>
      <c r="W1257" s="17"/>
      <c r="X1257" s="17">
        <v>0.21789674006675999</v>
      </c>
      <c r="Y1257" s="17">
        <v>0.13397996584300501</v>
      </c>
    </row>
    <row r="1258" spans="2:25" x14ac:dyDescent="0.35">
      <c r="B1258" t="s">
        <v>477</v>
      </c>
      <c r="C1258" s="17">
        <v>0.12298446785733499</v>
      </c>
      <c r="D1258" s="17">
        <v>0.168652383346067</v>
      </c>
      <c r="E1258" s="17">
        <v>7.9638155212608405E-2</v>
      </c>
      <c r="F1258" s="17"/>
      <c r="G1258" s="17">
        <v>0.20761743980431799</v>
      </c>
      <c r="H1258" s="17">
        <v>0.17983901192908699</v>
      </c>
      <c r="I1258" s="17">
        <v>0.16248216467469401</v>
      </c>
      <c r="J1258" s="17">
        <v>0.121902653869164</v>
      </c>
      <c r="K1258" s="17">
        <v>9.9497967570665993E-2</v>
      </c>
      <c r="L1258" s="17">
        <v>4.8694169131371999E-2</v>
      </c>
      <c r="M1258" s="17"/>
      <c r="N1258" s="17">
        <v>8.3500719675681304E-2</v>
      </c>
      <c r="O1258" s="17">
        <v>9.9881524808189306E-2</v>
      </c>
      <c r="P1258" s="17">
        <v>8.8247545282540196E-2</v>
      </c>
      <c r="Q1258" s="17">
        <v>0.12630615063437201</v>
      </c>
      <c r="R1258" s="17">
        <v>0.16518407565871901</v>
      </c>
      <c r="S1258" s="17">
        <v>8.6964091968298199E-2</v>
      </c>
      <c r="T1258" s="17">
        <v>0.11103350552462</v>
      </c>
      <c r="U1258" s="17">
        <v>0.16993707232163299</v>
      </c>
      <c r="V1258" s="17">
        <v>0.13021263871528099</v>
      </c>
      <c r="W1258" s="17"/>
      <c r="X1258" s="17">
        <v>0.16999165348363501</v>
      </c>
      <c r="Y1258" s="17">
        <v>9.69722648549452E-2</v>
      </c>
    </row>
    <row r="1259" spans="2:25" x14ac:dyDescent="0.35">
      <c r="B1259" t="s">
        <v>48</v>
      </c>
      <c r="C1259" s="17">
        <v>0.19200901944057</v>
      </c>
      <c r="D1259" s="17">
        <v>0.13983639723540001</v>
      </c>
      <c r="E1259" s="17">
        <v>0.24189266395279499</v>
      </c>
      <c r="F1259" s="17"/>
      <c r="G1259" s="17">
        <v>5.7867386928577E-2</v>
      </c>
      <c r="H1259" s="17">
        <v>0.101582940205127</v>
      </c>
      <c r="I1259" s="17">
        <v>0.13483793669440999</v>
      </c>
      <c r="J1259" s="17">
        <v>0.189335589555225</v>
      </c>
      <c r="K1259" s="17">
        <v>0.23472097240932099</v>
      </c>
      <c r="L1259" s="17">
        <v>0.30584586670960501</v>
      </c>
      <c r="M1259" s="17"/>
      <c r="N1259" s="17">
        <v>0.20695007373129001</v>
      </c>
      <c r="O1259" s="17">
        <v>0.25483892336520098</v>
      </c>
      <c r="P1259" s="17">
        <v>0.23888127222708</v>
      </c>
      <c r="Q1259" s="17">
        <v>0.19605784769885901</v>
      </c>
      <c r="R1259" s="17">
        <v>0.15704617132074999</v>
      </c>
      <c r="S1259" s="17">
        <v>0.30167714273874502</v>
      </c>
      <c r="T1259" s="17">
        <v>0.117904860306091</v>
      </c>
      <c r="U1259" s="17">
        <v>0.13305517249789101</v>
      </c>
      <c r="V1259" s="17">
        <v>0.17226415476682699</v>
      </c>
      <c r="W1259" s="17"/>
      <c r="X1259" s="17">
        <v>0.12913436356956401</v>
      </c>
      <c r="Y1259" s="17">
        <v>0.22680174932710501</v>
      </c>
    </row>
    <row r="1260" spans="2:25" x14ac:dyDescent="0.35">
      <c r="C1260" s="17"/>
      <c r="D1260" s="17"/>
      <c r="E1260" s="17"/>
      <c r="F1260" s="17"/>
      <c r="G1260" s="17"/>
      <c r="H1260" s="17"/>
      <c r="I1260" s="17"/>
      <c r="J1260" s="17"/>
      <c r="K1260" s="17"/>
      <c r="L1260" s="17"/>
      <c r="M1260" s="17"/>
      <c r="N1260" s="17"/>
      <c r="O1260" s="17"/>
      <c r="P1260" s="17"/>
      <c r="Q1260" s="17"/>
      <c r="R1260" s="17"/>
      <c r="S1260" s="17"/>
      <c r="T1260" s="17"/>
      <c r="U1260" s="17"/>
      <c r="V1260" s="17"/>
      <c r="W1260" s="17"/>
      <c r="X1260" s="17"/>
      <c r="Y1260" s="17"/>
    </row>
    <row r="1261" spans="2:25" x14ac:dyDescent="0.35">
      <c r="B1261" s="6" t="s">
        <v>480</v>
      </c>
      <c r="C1261" s="17"/>
      <c r="D1261" s="17"/>
      <c r="E1261" s="17"/>
      <c r="F1261" s="17"/>
      <c r="G1261" s="17"/>
      <c r="H1261" s="17"/>
      <c r="I1261" s="17"/>
      <c r="J1261" s="17"/>
      <c r="K1261" s="17"/>
      <c r="L1261" s="17"/>
      <c r="M1261" s="17"/>
      <c r="N1261" s="17"/>
      <c r="O1261" s="17"/>
      <c r="P1261" s="17"/>
      <c r="Q1261" s="17"/>
      <c r="R1261" s="17"/>
      <c r="S1261" s="17"/>
      <c r="T1261" s="17"/>
      <c r="U1261" s="17"/>
      <c r="V1261" s="17"/>
      <c r="W1261" s="17"/>
      <c r="X1261" s="17"/>
      <c r="Y1261" s="17"/>
    </row>
    <row r="1262" spans="2:25" x14ac:dyDescent="0.35">
      <c r="B1262" s="24" t="s">
        <v>50</v>
      </c>
      <c r="C1262" s="17"/>
      <c r="D1262" s="17"/>
      <c r="E1262" s="17"/>
      <c r="F1262" s="17"/>
      <c r="G1262" s="17"/>
      <c r="H1262" s="17"/>
      <c r="I1262" s="17"/>
      <c r="J1262" s="17"/>
      <c r="K1262" s="17"/>
      <c r="L1262" s="17"/>
      <c r="M1262" s="17"/>
      <c r="N1262" s="17"/>
      <c r="O1262" s="17"/>
      <c r="P1262" s="17"/>
      <c r="Q1262" s="17"/>
      <c r="R1262" s="17"/>
      <c r="S1262" s="17"/>
      <c r="T1262" s="17"/>
      <c r="U1262" s="17"/>
      <c r="V1262" s="17"/>
      <c r="W1262" s="17"/>
      <c r="X1262" s="17"/>
      <c r="Y1262" s="17"/>
    </row>
    <row r="1263" spans="2:25" x14ac:dyDescent="0.35">
      <c r="B1263" t="s">
        <v>467</v>
      </c>
      <c r="C1263" s="17">
        <v>0.41833181883083698</v>
      </c>
      <c r="D1263" s="17">
        <v>0.37628261641451</v>
      </c>
      <c r="E1263" s="17">
        <v>0.45852044444096501</v>
      </c>
      <c r="F1263" s="17"/>
      <c r="G1263" s="17">
        <v>0.46412735289808499</v>
      </c>
      <c r="H1263" s="17">
        <v>0.41321197412551702</v>
      </c>
      <c r="I1263" s="17">
        <v>0.43535439197272102</v>
      </c>
      <c r="J1263" s="17">
        <v>0.416379841280546</v>
      </c>
      <c r="K1263" s="17">
        <v>0.39232438283194898</v>
      </c>
      <c r="L1263" s="17">
        <v>0.41185333739219498</v>
      </c>
      <c r="M1263" s="17"/>
      <c r="N1263" s="17">
        <v>0.371467417514043</v>
      </c>
      <c r="O1263" s="17">
        <v>0.53590721055627699</v>
      </c>
      <c r="P1263" s="17">
        <v>0.33100648453414899</v>
      </c>
      <c r="Q1263" s="17">
        <v>0.39808571664236297</v>
      </c>
      <c r="R1263" s="17">
        <v>0.460007593250781</v>
      </c>
      <c r="S1263" s="17">
        <v>0.308074204823158</v>
      </c>
      <c r="T1263" s="17">
        <v>0.536343482022277</v>
      </c>
      <c r="U1263" s="17">
        <v>0.471739005718115</v>
      </c>
      <c r="V1263" s="17">
        <v>0.39501013016562098</v>
      </c>
      <c r="W1263" s="17"/>
      <c r="X1263" s="17">
        <v>0.41719768373140098</v>
      </c>
      <c r="Y1263" s="17">
        <v>0.41895941123071501</v>
      </c>
    </row>
    <row r="1264" spans="2:25" x14ac:dyDescent="0.35">
      <c r="B1264" t="s">
        <v>466</v>
      </c>
      <c r="C1264" s="17">
        <v>0.30837388005053601</v>
      </c>
      <c r="D1264" s="17">
        <v>0.35198599104852202</v>
      </c>
      <c r="E1264" s="17">
        <v>0.26712818717001902</v>
      </c>
      <c r="F1264" s="17"/>
      <c r="G1264" s="17">
        <v>0.33975440465322099</v>
      </c>
      <c r="H1264" s="17">
        <v>0.33209009133314998</v>
      </c>
      <c r="I1264" s="17">
        <v>0.33134914044866198</v>
      </c>
      <c r="J1264" s="17">
        <v>0.30360189088538198</v>
      </c>
      <c r="K1264" s="17">
        <v>0.28899426287525398</v>
      </c>
      <c r="L1264" s="17">
        <v>0.28393551033300701</v>
      </c>
      <c r="M1264" s="17"/>
      <c r="N1264" s="17">
        <v>0.22536021010965701</v>
      </c>
      <c r="O1264" s="17">
        <v>0.220448462936636</v>
      </c>
      <c r="P1264" s="17">
        <v>0.279222238060581</v>
      </c>
      <c r="Q1264" s="17">
        <v>0.245487644448524</v>
      </c>
      <c r="R1264" s="17">
        <v>0.43807107457710998</v>
      </c>
      <c r="S1264" s="17">
        <v>0.22032935555840399</v>
      </c>
      <c r="T1264" s="17">
        <v>0.33934927580572399</v>
      </c>
      <c r="U1264" s="17">
        <v>0.35734286427435502</v>
      </c>
      <c r="V1264" s="17">
        <v>0.32030449915604903</v>
      </c>
      <c r="W1264" s="17"/>
      <c r="X1264" s="17">
        <v>0.33285027845186599</v>
      </c>
      <c r="Y1264" s="17">
        <v>0.29482946050063302</v>
      </c>
    </row>
    <row r="1265" spans="2:25" x14ac:dyDescent="0.35">
      <c r="B1265" t="s">
        <v>471</v>
      </c>
      <c r="C1265" s="17">
        <v>0.246627567717454</v>
      </c>
      <c r="D1265" s="17">
        <v>0.26766471505750999</v>
      </c>
      <c r="E1265" s="17">
        <v>0.227225011098561</v>
      </c>
      <c r="F1265" s="17"/>
      <c r="G1265" s="17">
        <v>0.237048315435854</v>
      </c>
      <c r="H1265" s="17">
        <v>0.23393926663964601</v>
      </c>
      <c r="I1265" s="17">
        <v>0.24168184959865099</v>
      </c>
      <c r="J1265" s="17">
        <v>0.21697246708388199</v>
      </c>
      <c r="K1265" s="17">
        <v>0.25996667085643699</v>
      </c>
      <c r="L1265" s="17">
        <v>0.27236090915969202</v>
      </c>
      <c r="M1265" s="17"/>
      <c r="N1265" s="17">
        <v>0.19663092265455501</v>
      </c>
      <c r="O1265" s="17">
        <v>0.15867817886068999</v>
      </c>
      <c r="P1265" s="17">
        <v>0.188058164955024</v>
      </c>
      <c r="Q1265" s="17">
        <v>0.255982624832856</v>
      </c>
      <c r="R1265" s="17">
        <v>0.29404549864066998</v>
      </c>
      <c r="S1265" s="17">
        <v>0.15137146114300301</v>
      </c>
      <c r="T1265" s="17">
        <v>0.31615284923978998</v>
      </c>
      <c r="U1265" s="17">
        <v>0.322584993648378</v>
      </c>
      <c r="V1265" s="17">
        <v>0.19504520682873699</v>
      </c>
      <c r="W1265" s="17"/>
      <c r="X1265" s="17">
        <v>0.26422137204802199</v>
      </c>
      <c r="Y1265" s="17">
        <v>0.23689174533767299</v>
      </c>
    </row>
    <row r="1266" spans="2:25" x14ac:dyDescent="0.35">
      <c r="B1266" t="s">
        <v>472</v>
      </c>
      <c r="C1266" s="17">
        <v>0.24456714105694399</v>
      </c>
      <c r="D1266" s="17">
        <v>0.28595070630776098</v>
      </c>
      <c r="E1266" s="17">
        <v>0.205468730868894</v>
      </c>
      <c r="F1266" s="17"/>
      <c r="G1266" s="17">
        <v>0.38424867631963699</v>
      </c>
      <c r="H1266" s="17">
        <v>0.27440305600735199</v>
      </c>
      <c r="I1266" s="17">
        <v>0.30179266870404903</v>
      </c>
      <c r="J1266" s="17">
        <v>0.23441659556328601</v>
      </c>
      <c r="K1266" s="17">
        <v>0.210686118015462</v>
      </c>
      <c r="L1266" s="17">
        <v>0.167452742610189</v>
      </c>
      <c r="M1266" s="17"/>
      <c r="N1266" s="17">
        <v>0.223225162296147</v>
      </c>
      <c r="O1266" s="17">
        <v>0.19606704288083501</v>
      </c>
      <c r="P1266" s="17">
        <v>0.19914768275103201</v>
      </c>
      <c r="Q1266" s="17">
        <v>0.28213099876192099</v>
      </c>
      <c r="R1266" s="17">
        <v>0.25218577496987399</v>
      </c>
      <c r="S1266" s="17">
        <v>0.18559935546483</v>
      </c>
      <c r="T1266" s="17">
        <v>0.29367401531910797</v>
      </c>
      <c r="U1266" s="17">
        <v>0.27760418154427602</v>
      </c>
      <c r="V1266" s="17">
        <v>0.22256284306587701</v>
      </c>
      <c r="W1266" s="17"/>
      <c r="X1266" s="17">
        <v>0.28003584862708503</v>
      </c>
      <c r="Y1266" s="17">
        <v>0.22493994557067001</v>
      </c>
    </row>
    <row r="1267" spans="2:25" x14ac:dyDescent="0.35">
      <c r="B1267" t="s">
        <v>469</v>
      </c>
      <c r="C1267" s="17">
        <v>0.244226424679445</v>
      </c>
      <c r="D1267" s="17">
        <v>0.27061177016954002</v>
      </c>
      <c r="E1267" s="17">
        <v>0.21895062837866899</v>
      </c>
      <c r="F1267" s="17"/>
      <c r="G1267" s="17">
        <v>0.32483247340431798</v>
      </c>
      <c r="H1267" s="17">
        <v>0.28843090087526102</v>
      </c>
      <c r="I1267" s="17">
        <v>0.25974583632730103</v>
      </c>
      <c r="J1267" s="17">
        <v>0.21767838921923</v>
      </c>
      <c r="K1267" s="17">
        <v>0.223892443122201</v>
      </c>
      <c r="L1267" s="17">
        <v>0.20963158566535001</v>
      </c>
      <c r="M1267" s="17"/>
      <c r="N1267" s="17">
        <v>0.22975974458621101</v>
      </c>
      <c r="O1267" s="17">
        <v>0.20762975421906901</v>
      </c>
      <c r="P1267" s="17">
        <v>0.19601218822775501</v>
      </c>
      <c r="Q1267" s="17">
        <v>0.22962075477302399</v>
      </c>
      <c r="R1267" s="17">
        <v>0.301553093628178</v>
      </c>
      <c r="S1267" s="17">
        <v>0.160356729225624</v>
      </c>
      <c r="T1267" s="17">
        <v>0.32270028406751999</v>
      </c>
      <c r="U1267" s="17">
        <v>0.25575202570547401</v>
      </c>
      <c r="V1267" s="17">
        <v>0.26770961877051103</v>
      </c>
      <c r="W1267" s="17"/>
      <c r="X1267" s="17">
        <v>0.25991234190025497</v>
      </c>
      <c r="Y1267" s="17">
        <v>0.23554636316140001</v>
      </c>
    </row>
    <row r="1268" spans="2:25" x14ac:dyDescent="0.35">
      <c r="B1268" t="s">
        <v>468</v>
      </c>
      <c r="C1268" s="17">
        <v>0.23756611693530499</v>
      </c>
      <c r="D1268" s="17">
        <v>0.25700858298262003</v>
      </c>
      <c r="E1268" s="17">
        <v>0.21880090249744899</v>
      </c>
      <c r="F1268" s="17"/>
      <c r="G1268" s="17">
        <v>0.34736058017395399</v>
      </c>
      <c r="H1268" s="17">
        <v>0.26974482183479598</v>
      </c>
      <c r="I1268" s="17">
        <v>0.25374814197485002</v>
      </c>
      <c r="J1268" s="17">
        <v>0.219811308476169</v>
      </c>
      <c r="K1268" s="17">
        <v>0.200033854940838</v>
      </c>
      <c r="L1268" s="17">
        <v>0.20411434537668599</v>
      </c>
      <c r="M1268" s="17"/>
      <c r="N1268" s="17">
        <v>0.34521388950151199</v>
      </c>
      <c r="O1268" s="17">
        <v>0.22930380080641199</v>
      </c>
      <c r="P1268" s="17">
        <v>0.13877666431383401</v>
      </c>
      <c r="Q1268" s="17">
        <v>0.25044404273770898</v>
      </c>
      <c r="R1268" s="17">
        <v>0.20772386100811699</v>
      </c>
      <c r="S1268" s="17">
        <v>0.21475395393616001</v>
      </c>
      <c r="T1268" s="17">
        <v>0.29106404621043802</v>
      </c>
      <c r="U1268" s="17">
        <v>0.28719652432399001</v>
      </c>
      <c r="V1268" s="17">
        <v>0.273330946794968</v>
      </c>
      <c r="W1268" s="17"/>
      <c r="X1268" s="17">
        <v>0.25950283384998801</v>
      </c>
      <c r="Y1268" s="17">
        <v>0.22542707210656099</v>
      </c>
    </row>
    <row r="1269" spans="2:25" x14ac:dyDescent="0.35">
      <c r="B1269" t="s">
        <v>470</v>
      </c>
      <c r="C1269" s="17">
        <v>0.17309535448129601</v>
      </c>
      <c r="D1269" s="17">
        <v>0.219238875127753</v>
      </c>
      <c r="E1269" s="17">
        <v>0.12950708616628301</v>
      </c>
      <c r="F1269" s="17"/>
      <c r="G1269" s="17">
        <v>0.248434944045828</v>
      </c>
      <c r="H1269" s="17">
        <v>0.20342387375665899</v>
      </c>
      <c r="I1269" s="17">
        <v>0.20209181650532401</v>
      </c>
      <c r="J1269" s="17">
        <v>0.19326315751318601</v>
      </c>
      <c r="K1269" s="17">
        <v>0.15406634442405001</v>
      </c>
      <c r="L1269" s="17">
        <v>0.10724770135634699</v>
      </c>
      <c r="M1269" s="17"/>
      <c r="N1269" s="17">
        <v>0.141388728795482</v>
      </c>
      <c r="O1269" s="17">
        <v>0.15793394569536801</v>
      </c>
      <c r="P1269" s="17">
        <v>0.13557144582675201</v>
      </c>
      <c r="Q1269" s="17">
        <v>0.143014252072307</v>
      </c>
      <c r="R1269" s="17">
        <v>0.176413375463951</v>
      </c>
      <c r="S1269" s="17">
        <v>0.1083907329217</v>
      </c>
      <c r="T1269" s="17">
        <v>0.18596935541870499</v>
      </c>
      <c r="U1269" s="17">
        <v>0.28394774721148802</v>
      </c>
      <c r="V1269" s="17">
        <v>0.20887133122378199</v>
      </c>
      <c r="W1269" s="17"/>
      <c r="X1269" s="17">
        <v>0.20469893195022501</v>
      </c>
      <c r="Y1269" s="17">
        <v>0.155606992611284</v>
      </c>
    </row>
    <row r="1270" spans="2:25" x14ac:dyDescent="0.35">
      <c r="B1270" t="s">
        <v>475</v>
      </c>
      <c r="C1270" s="17">
        <v>0.161098009644948</v>
      </c>
      <c r="D1270" s="17">
        <v>0.18251818564562899</v>
      </c>
      <c r="E1270" s="17">
        <v>0.141015882338582</v>
      </c>
      <c r="F1270" s="17"/>
      <c r="G1270" s="17">
        <v>0.25489809485811299</v>
      </c>
      <c r="H1270" s="17">
        <v>0.203687892426411</v>
      </c>
      <c r="I1270" s="17">
        <v>0.22072455224156901</v>
      </c>
      <c r="J1270" s="17">
        <v>0.17594665672089399</v>
      </c>
      <c r="K1270" s="17">
        <v>0.14384088534429201</v>
      </c>
      <c r="L1270" s="17">
        <v>6.3942602351241398E-2</v>
      </c>
      <c r="M1270" s="17"/>
      <c r="N1270" s="17">
        <v>0.152149984292308</v>
      </c>
      <c r="O1270" s="17">
        <v>0.201708674908959</v>
      </c>
      <c r="P1270" s="17">
        <v>0.108386534114708</v>
      </c>
      <c r="Q1270" s="17">
        <v>0.180135995451769</v>
      </c>
      <c r="R1270" s="17">
        <v>0.164715074999192</v>
      </c>
      <c r="S1270" s="17">
        <v>9.1879241210375107E-2</v>
      </c>
      <c r="T1270" s="17">
        <v>0.20663944531779399</v>
      </c>
      <c r="U1270" s="17">
        <v>0.20882748816678301</v>
      </c>
      <c r="V1270" s="17">
        <v>0.160214669314522</v>
      </c>
      <c r="W1270" s="17"/>
      <c r="X1270" s="17">
        <v>0.204761274151044</v>
      </c>
      <c r="Y1270" s="17">
        <v>0.13693622065573099</v>
      </c>
    </row>
    <row r="1271" spans="2:25" x14ac:dyDescent="0.35">
      <c r="B1271" t="s">
        <v>479</v>
      </c>
      <c r="C1271" s="17">
        <v>0.100554528216092</v>
      </c>
      <c r="D1271" s="17">
        <v>0.125828749686622</v>
      </c>
      <c r="E1271" s="17">
        <v>7.6569120070118304E-2</v>
      </c>
      <c r="F1271" s="17"/>
      <c r="G1271" s="17">
        <v>0.16435499275649501</v>
      </c>
      <c r="H1271" s="17">
        <v>0.12932551087962299</v>
      </c>
      <c r="I1271" s="17">
        <v>0.12615340699379901</v>
      </c>
      <c r="J1271" s="17">
        <v>9.1225241852253197E-2</v>
      </c>
      <c r="K1271" s="17">
        <v>8.8730605948269203E-2</v>
      </c>
      <c r="L1271" s="17">
        <v>5.7516827045476497E-2</v>
      </c>
      <c r="M1271" s="17"/>
      <c r="N1271" s="17">
        <v>8.6859289068087195E-2</v>
      </c>
      <c r="O1271" s="17">
        <v>8.3537060510305003E-2</v>
      </c>
      <c r="P1271" s="17">
        <v>9.9618389875511096E-2</v>
      </c>
      <c r="Q1271" s="17">
        <v>8.3109094388039803E-2</v>
      </c>
      <c r="R1271" s="17">
        <v>8.8865587214258898E-2</v>
      </c>
      <c r="S1271" s="17">
        <v>7.1723324354810894E-2</v>
      </c>
      <c r="T1271" s="17">
        <v>0.13603341916492601</v>
      </c>
      <c r="U1271" s="17">
        <v>0.13000648981753701</v>
      </c>
      <c r="V1271" s="17">
        <v>0.100617604641682</v>
      </c>
      <c r="W1271" s="17"/>
      <c r="X1271" s="17">
        <v>0.11700097380463</v>
      </c>
      <c r="Y1271" s="17">
        <v>9.1453615757349394E-2</v>
      </c>
    </row>
    <row r="1272" spans="2:25" x14ac:dyDescent="0.35">
      <c r="B1272" t="s">
        <v>476</v>
      </c>
      <c r="C1272" s="17">
        <v>9.4658171505189001E-2</v>
      </c>
      <c r="D1272" s="17">
        <v>0.13410502484862499</v>
      </c>
      <c r="E1272" s="17">
        <v>5.7577095452891199E-2</v>
      </c>
      <c r="F1272" s="17"/>
      <c r="G1272" s="17">
        <v>0.19803006834900799</v>
      </c>
      <c r="H1272" s="17">
        <v>0.166752912007396</v>
      </c>
      <c r="I1272" s="17">
        <v>0.12315691755001799</v>
      </c>
      <c r="J1272" s="17">
        <v>7.7922384664630001E-2</v>
      </c>
      <c r="K1272" s="17">
        <v>5.73557084983728E-2</v>
      </c>
      <c r="L1272" s="17">
        <v>3.1218643178129599E-2</v>
      </c>
      <c r="M1272" s="17"/>
      <c r="N1272" s="17">
        <v>0.12002167228871399</v>
      </c>
      <c r="O1272" s="17">
        <v>4.4976831707463603E-2</v>
      </c>
      <c r="P1272" s="17">
        <v>6.99340844437326E-2</v>
      </c>
      <c r="Q1272" s="17">
        <v>9.6510151683181097E-2</v>
      </c>
      <c r="R1272" s="17">
        <v>0.104267537543293</v>
      </c>
      <c r="S1272" s="17">
        <v>8.8949342729553293E-2</v>
      </c>
      <c r="T1272" s="17">
        <v>9.7652334830554993E-2</v>
      </c>
      <c r="U1272" s="17">
        <v>0.113967129389002</v>
      </c>
      <c r="V1272" s="17">
        <v>9.7673589297471206E-2</v>
      </c>
      <c r="W1272" s="17"/>
      <c r="X1272" s="17">
        <v>0.12473207297705401</v>
      </c>
      <c r="Y1272" s="17">
        <v>7.8016281127426104E-2</v>
      </c>
    </row>
    <row r="1273" spans="2:25" x14ac:dyDescent="0.35">
      <c r="B1273" t="s">
        <v>474</v>
      </c>
      <c r="C1273" s="17">
        <v>9.1085502350880601E-2</v>
      </c>
      <c r="D1273" s="17">
        <v>0.11387967910088199</v>
      </c>
      <c r="E1273" s="17">
        <v>6.88118884983175E-2</v>
      </c>
      <c r="F1273" s="17"/>
      <c r="G1273" s="17">
        <v>0.15301780881528701</v>
      </c>
      <c r="H1273" s="17">
        <v>0.13284680912136501</v>
      </c>
      <c r="I1273" s="17">
        <v>0.103661389173479</v>
      </c>
      <c r="J1273" s="17">
        <v>7.7731259978925396E-2</v>
      </c>
      <c r="K1273" s="17">
        <v>8.4009523373324402E-2</v>
      </c>
      <c r="L1273" s="17">
        <v>4.9031847478152597E-2</v>
      </c>
      <c r="M1273" s="17"/>
      <c r="N1273" s="17">
        <v>6.5137203131470103E-2</v>
      </c>
      <c r="O1273" s="17">
        <v>5.1722964494764101E-2</v>
      </c>
      <c r="P1273" s="17">
        <v>6.6102303886766106E-2</v>
      </c>
      <c r="Q1273" s="17">
        <v>6.7361902397459705E-2</v>
      </c>
      <c r="R1273" s="17">
        <v>9.2937575209160794E-2</v>
      </c>
      <c r="S1273" s="17">
        <v>5.8560499554355099E-2</v>
      </c>
      <c r="T1273" s="17">
        <v>0.136615079035216</v>
      </c>
      <c r="U1273" s="17">
        <v>0.120825715617795</v>
      </c>
      <c r="V1273" s="17">
        <v>0.13339671564147501</v>
      </c>
      <c r="W1273" s="17"/>
      <c r="X1273" s="17">
        <v>0.112032342758942</v>
      </c>
      <c r="Y1273" s="17">
        <v>7.9494222045677201E-2</v>
      </c>
    </row>
    <row r="1274" spans="2:25" x14ac:dyDescent="0.35">
      <c r="B1274" t="s">
        <v>48</v>
      </c>
      <c r="C1274" s="17">
        <v>0.26618556085149198</v>
      </c>
      <c r="D1274" s="17">
        <v>0.22761494356186701</v>
      </c>
      <c r="E1274" s="17">
        <v>0.30298679581416799</v>
      </c>
      <c r="F1274" s="17"/>
      <c r="G1274" s="17">
        <v>0.107505501692334</v>
      </c>
      <c r="H1274" s="17">
        <v>0.176881424716371</v>
      </c>
      <c r="I1274" s="17">
        <v>0.20414703181226301</v>
      </c>
      <c r="J1274" s="17">
        <v>0.27603496360105001</v>
      </c>
      <c r="K1274" s="17">
        <v>0.33525085452508202</v>
      </c>
      <c r="L1274" s="17">
        <v>0.36570862118659198</v>
      </c>
      <c r="M1274" s="17"/>
      <c r="N1274" s="17">
        <v>0.26927068135936999</v>
      </c>
      <c r="O1274" s="17">
        <v>0.24634971710985901</v>
      </c>
      <c r="P1274" s="17">
        <v>0.316681368997006</v>
      </c>
      <c r="Q1274" s="17">
        <v>0.28883078462988299</v>
      </c>
      <c r="R1274" s="17">
        <v>0.218456834111632</v>
      </c>
      <c r="S1274" s="17">
        <v>0.42409801921818202</v>
      </c>
      <c r="T1274" s="17">
        <v>0.15543474282445399</v>
      </c>
      <c r="U1274" s="17">
        <v>0.188068192161255</v>
      </c>
      <c r="V1274" s="17">
        <v>0.28895756549024099</v>
      </c>
      <c r="W1274" s="17"/>
      <c r="X1274" s="17">
        <v>0.21293639245454199</v>
      </c>
      <c r="Y1274" s="17">
        <v>0.29565186817441003</v>
      </c>
    </row>
    <row r="1275" spans="2:25" x14ac:dyDescent="0.35">
      <c r="C1275" s="17"/>
      <c r="D1275" s="17"/>
      <c r="E1275" s="17"/>
      <c r="F1275" s="17"/>
      <c r="G1275" s="17"/>
      <c r="H1275" s="17"/>
      <c r="I1275" s="17"/>
      <c r="J1275" s="17"/>
      <c r="K1275" s="17"/>
      <c r="L1275" s="17"/>
      <c r="M1275" s="17"/>
      <c r="N1275" s="17"/>
      <c r="O1275" s="17"/>
      <c r="P1275" s="17"/>
      <c r="Q1275" s="17"/>
      <c r="R1275" s="17"/>
      <c r="S1275" s="17"/>
      <c r="T1275" s="17"/>
      <c r="U1275" s="17"/>
      <c r="V1275" s="17"/>
      <c r="W1275" s="17"/>
      <c r="X1275" s="17"/>
      <c r="Y1275" s="17"/>
    </row>
    <row r="1276" spans="2:25" x14ac:dyDescent="0.35">
      <c r="B1276" s="6" t="s">
        <v>494</v>
      </c>
      <c r="C1276" s="17"/>
      <c r="D1276" s="17"/>
      <c r="E1276" s="17"/>
      <c r="F1276" s="17"/>
      <c r="G1276" s="17"/>
      <c r="H1276" s="17"/>
      <c r="I1276" s="17"/>
      <c r="J1276" s="17"/>
      <c r="K1276" s="17"/>
      <c r="L1276" s="17"/>
      <c r="M1276" s="17"/>
      <c r="N1276" s="17"/>
      <c r="O1276" s="17"/>
      <c r="P1276" s="17"/>
      <c r="Q1276" s="17"/>
      <c r="R1276" s="17"/>
      <c r="S1276" s="17"/>
      <c r="T1276" s="17"/>
      <c r="U1276" s="17"/>
      <c r="V1276" s="17"/>
      <c r="W1276" s="17"/>
      <c r="X1276" s="17"/>
      <c r="Y1276" s="17"/>
    </row>
    <row r="1277" spans="2:25" x14ac:dyDescent="0.35">
      <c r="B1277" s="24" t="s">
        <v>50</v>
      </c>
      <c r="C1277" s="17"/>
      <c r="D1277" s="17"/>
      <c r="E1277" s="17"/>
      <c r="F1277" s="17"/>
      <c r="G1277" s="17"/>
      <c r="H1277" s="17"/>
      <c r="I1277" s="17"/>
      <c r="J1277" s="17"/>
      <c r="K1277" s="17"/>
      <c r="L1277" s="17"/>
      <c r="M1277" s="17"/>
      <c r="N1277" s="17"/>
      <c r="O1277" s="17"/>
      <c r="P1277" s="17"/>
      <c r="Q1277" s="17"/>
      <c r="R1277" s="17"/>
      <c r="S1277" s="17"/>
      <c r="T1277" s="17"/>
      <c r="U1277" s="17"/>
      <c r="V1277" s="17"/>
      <c r="W1277" s="17"/>
      <c r="X1277" s="17"/>
      <c r="Y1277" s="17"/>
    </row>
    <row r="1278" spans="2:25" x14ac:dyDescent="0.35">
      <c r="B1278" t="s">
        <v>486</v>
      </c>
      <c r="C1278" s="17">
        <v>0.32792663755999202</v>
      </c>
      <c r="D1278" s="17">
        <v>0.37069813036344901</v>
      </c>
      <c r="E1278" s="17">
        <v>0.28760379949783499</v>
      </c>
      <c r="F1278" s="17"/>
      <c r="G1278" s="17">
        <v>0.28523933241291999</v>
      </c>
      <c r="H1278" s="17">
        <v>0.32293537014009399</v>
      </c>
      <c r="I1278" s="17">
        <v>0.315306281816703</v>
      </c>
      <c r="J1278" s="17">
        <v>0.32595922452807102</v>
      </c>
      <c r="K1278" s="17">
        <v>0.32412852660793201</v>
      </c>
      <c r="L1278" s="17">
        <v>0.35870711551346901</v>
      </c>
      <c r="M1278" s="17"/>
      <c r="N1278" s="17">
        <v>0.289623782569563</v>
      </c>
      <c r="O1278" s="17">
        <v>0.260842869298203</v>
      </c>
      <c r="P1278" s="17">
        <v>0.21568357444299099</v>
      </c>
      <c r="Q1278" s="17">
        <v>0.36006050936302803</v>
      </c>
      <c r="R1278" s="17">
        <v>0.36035729417774398</v>
      </c>
      <c r="S1278" s="17">
        <v>0.23455111875576001</v>
      </c>
      <c r="T1278" s="17">
        <v>0.38641478926996498</v>
      </c>
      <c r="U1278" s="17">
        <v>0.43981876872569398</v>
      </c>
      <c r="V1278" s="17">
        <v>0.307132466940985</v>
      </c>
      <c r="W1278" s="17"/>
      <c r="X1278" s="17">
        <v>0.37590355251356</v>
      </c>
      <c r="Y1278" s="17">
        <v>0.30137781880870701</v>
      </c>
    </row>
    <row r="1279" spans="2:25" x14ac:dyDescent="0.35">
      <c r="B1279" t="s">
        <v>487</v>
      </c>
      <c r="C1279" s="17">
        <v>0.40012397545023998</v>
      </c>
      <c r="D1279" s="17">
        <v>0.39295773312393301</v>
      </c>
      <c r="E1279" s="17">
        <v>0.40702251104786802</v>
      </c>
      <c r="F1279" s="17"/>
      <c r="G1279" s="17">
        <v>0.39257029057201198</v>
      </c>
      <c r="H1279" s="17">
        <v>0.40054714434880001</v>
      </c>
      <c r="I1279" s="17">
        <v>0.40237180658817701</v>
      </c>
      <c r="J1279" s="17">
        <v>0.39246302057321802</v>
      </c>
      <c r="K1279" s="17">
        <v>0.40970351433461399</v>
      </c>
      <c r="L1279" s="17">
        <v>0.40017233475324898</v>
      </c>
      <c r="M1279" s="17"/>
      <c r="N1279" s="17">
        <v>0.40771272114872698</v>
      </c>
      <c r="O1279" s="17">
        <v>0.45733993162262299</v>
      </c>
      <c r="P1279" s="17">
        <v>0.37597751921971401</v>
      </c>
      <c r="Q1279" s="17">
        <v>0.40102382403822401</v>
      </c>
      <c r="R1279" s="17">
        <v>0.43134743018188698</v>
      </c>
      <c r="S1279" s="17">
        <v>0.40480396380379802</v>
      </c>
      <c r="T1279" s="17">
        <v>0.43449028889032099</v>
      </c>
      <c r="U1279" s="17">
        <v>0.351109751759482</v>
      </c>
      <c r="V1279" s="17">
        <v>0.37296754413384298</v>
      </c>
      <c r="W1279" s="17"/>
      <c r="X1279" s="17">
        <v>0.408176886586893</v>
      </c>
      <c r="Y1279" s="17">
        <v>0.39566776399116399</v>
      </c>
    </row>
    <row r="1280" spans="2:25" x14ac:dyDescent="0.35">
      <c r="B1280" t="s">
        <v>488</v>
      </c>
      <c r="C1280" s="17">
        <v>0.163860634657923</v>
      </c>
      <c r="D1280" s="17">
        <v>0.15399519732203101</v>
      </c>
      <c r="E1280" s="17">
        <v>0.173479085841129</v>
      </c>
      <c r="F1280" s="17"/>
      <c r="G1280" s="17">
        <v>0.223837294738813</v>
      </c>
      <c r="H1280" s="17">
        <v>0.17524129959427101</v>
      </c>
      <c r="I1280" s="17">
        <v>0.17138139178836601</v>
      </c>
      <c r="J1280" s="17">
        <v>0.16403830376648201</v>
      </c>
      <c r="K1280" s="17">
        <v>0.15753683784611799</v>
      </c>
      <c r="L1280" s="17">
        <v>0.134020159411226</v>
      </c>
      <c r="M1280" s="17"/>
      <c r="N1280" s="17">
        <v>0.18624762205277401</v>
      </c>
      <c r="O1280" s="17">
        <v>0.19091421349575799</v>
      </c>
      <c r="P1280" s="17">
        <v>0.23324880352233601</v>
      </c>
      <c r="Q1280" s="17">
        <v>0.136824524146202</v>
      </c>
      <c r="R1280" s="17">
        <v>0.149246462189667</v>
      </c>
      <c r="S1280" s="17">
        <v>0.217250631605447</v>
      </c>
      <c r="T1280" s="17">
        <v>9.3185542111375697E-2</v>
      </c>
      <c r="U1280" s="17">
        <v>0.14115588923695399</v>
      </c>
      <c r="V1280" s="17">
        <v>0.16970525227161401</v>
      </c>
      <c r="W1280" s="17"/>
      <c r="X1280" s="17">
        <v>0.135022516583996</v>
      </c>
      <c r="Y1280" s="17">
        <v>0.17981868387000299</v>
      </c>
    </row>
    <row r="1281" spans="2:25" x14ac:dyDescent="0.35">
      <c r="B1281" t="s">
        <v>489</v>
      </c>
      <c r="C1281" s="17">
        <v>3.03528378479129E-2</v>
      </c>
      <c r="D1281" s="17">
        <v>2.9666229394808501E-2</v>
      </c>
      <c r="E1281" s="17">
        <v>3.0838672367584599E-2</v>
      </c>
      <c r="F1281" s="17"/>
      <c r="G1281" s="17">
        <v>4.0168463547375098E-2</v>
      </c>
      <c r="H1281" s="17">
        <v>3.5615642138204902E-2</v>
      </c>
      <c r="I1281" s="17">
        <v>3.4725804224639598E-2</v>
      </c>
      <c r="J1281" s="17">
        <v>2.7610628041434399E-2</v>
      </c>
      <c r="K1281" s="17">
        <v>2.8994346658371001E-2</v>
      </c>
      <c r="L1281" s="17">
        <v>2.3547504035379099E-2</v>
      </c>
      <c r="M1281" s="17"/>
      <c r="N1281" s="17">
        <v>8.6796622492157794E-3</v>
      </c>
      <c r="O1281" s="17">
        <v>2.99778937002055E-2</v>
      </c>
      <c r="P1281" s="17">
        <v>5.5078501707779101E-2</v>
      </c>
      <c r="Q1281" s="17">
        <v>2.96990163081619E-2</v>
      </c>
      <c r="R1281" s="17">
        <v>1.7118163507942399E-2</v>
      </c>
      <c r="S1281" s="17">
        <v>4.04291130130928E-2</v>
      </c>
      <c r="T1281" s="17">
        <v>2.5465896880124898E-2</v>
      </c>
      <c r="U1281" s="17">
        <v>1.86994993144174E-2</v>
      </c>
      <c r="V1281" s="17">
        <v>3.1004122895368399E-2</v>
      </c>
      <c r="W1281" s="17"/>
      <c r="X1281" s="17">
        <v>3.2811080199485199E-2</v>
      </c>
      <c r="Y1281" s="17">
        <v>2.8992528818001601E-2</v>
      </c>
    </row>
    <row r="1282" spans="2:25" x14ac:dyDescent="0.35">
      <c r="B1282" t="s">
        <v>490</v>
      </c>
      <c r="C1282" s="17">
        <v>1.52687891467776E-2</v>
      </c>
      <c r="D1282" s="17">
        <v>1.5095667222266599E-2</v>
      </c>
      <c r="E1282" s="17">
        <v>1.5492862926908799E-2</v>
      </c>
      <c r="F1282" s="17"/>
      <c r="G1282" s="17">
        <v>1.19049750861031E-2</v>
      </c>
      <c r="H1282" s="17">
        <v>1.50180476105826E-2</v>
      </c>
      <c r="I1282" s="17">
        <v>1.5637647722163601E-2</v>
      </c>
      <c r="J1282" s="17">
        <v>2.1317150970153902E-2</v>
      </c>
      <c r="K1282" s="17">
        <v>1.19451093459051E-2</v>
      </c>
      <c r="L1282" s="17">
        <v>1.4487020216177799E-2</v>
      </c>
      <c r="M1282" s="17"/>
      <c r="N1282" s="17">
        <v>2.4174806744265399E-2</v>
      </c>
      <c r="O1282" s="17">
        <v>1.19575106351798E-2</v>
      </c>
      <c r="P1282" s="17">
        <v>3.0712816144645601E-2</v>
      </c>
      <c r="Q1282" s="17">
        <v>1.12424627835612E-2</v>
      </c>
      <c r="R1282" s="17">
        <v>1.20687285806629E-2</v>
      </c>
      <c r="S1282" s="17">
        <v>1.36875458967145E-2</v>
      </c>
      <c r="T1282" s="17">
        <v>1.00581747536252E-2</v>
      </c>
      <c r="U1282" s="17">
        <v>1.25396468963419E-2</v>
      </c>
      <c r="V1282" s="17">
        <v>1.5651335312302301E-2</v>
      </c>
      <c r="W1282" s="17"/>
      <c r="X1282" s="17">
        <v>1.4711696361399299E-2</v>
      </c>
      <c r="Y1282" s="17">
        <v>1.55770656460267E-2</v>
      </c>
    </row>
    <row r="1283" spans="2:25" x14ac:dyDescent="0.35">
      <c r="B1283" t="s">
        <v>80</v>
      </c>
      <c r="C1283" s="17">
        <v>6.2467125337155101E-2</v>
      </c>
      <c r="D1283" s="17">
        <v>3.7587042573511302E-2</v>
      </c>
      <c r="E1283" s="17">
        <v>8.5563068318674398E-2</v>
      </c>
      <c r="F1283" s="17"/>
      <c r="G1283" s="17">
        <v>4.6279643642777403E-2</v>
      </c>
      <c r="H1283" s="17">
        <v>5.06424961680473E-2</v>
      </c>
      <c r="I1283" s="17">
        <v>6.0577067859950498E-2</v>
      </c>
      <c r="J1283" s="17">
        <v>6.8611672120641107E-2</v>
      </c>
      <c r="K1283" s="17">
        <v>6.7691665207058604E-2</v>
      </c>
      <c r="L1283" s="17">
        <v>6.9065866070498499E-2</v>
      </c>
      <c r="M1283" s="17"/>
      <c r="N1283" s="17">
        <v>8.3561405235455605E-2</v>
      </c>
      <c r="O1283" s="17">
        <v>4.8967581248030703E-2</v>
      </c>
      <c r="P1283" s="17">
        <v>8.9298784962534003E-2</v>
      </c>
      <c r="Q1283" s="17">
        <v>6.1149663360823302E-2</v>
      </c>
      <c r="R1283" s="17">
        <v>2.98619213620968E-2</v>
      </c>
      <c r="S1283" s="17">
        <v>8.9277626925187398E-2</v>
      </c>
      <c r="T1283" s="17">
        <v>5.0385308094588098E-2</v>
      </c>
      <c r="U1283" s="17">
        <v>3.6676444067109799E-2</v>
      </c>
      <c r="V1283" s="17">
        <v>0.10353927844588701</v>
      </c>
      <c r="W1283" s="17"/>
      <c r="X1283" s="17">
        <v>3.3374267754667203E-2</v>
      </c>
      <c r="Y1283" s="17">
        <v>7.8566138866097507E-2</v>
      </c>
    </row>
    <row r="1284" spans="2:25" x14ac:dyDescent="0.35">
      <c r="B1284" t="s">
        <v>491</v>
      </c>
      <c r="C1284" s="17">
        <v>0.728050613010231</v>
      </c>
      <c r="D1284" s="17">
        <v>0.76365586348738201</v>
      </c>
      <c r="E1284" s="17">
        <v>0.69462631054570301</v>
      </c>
      <c r="F1284" s="17"/>
      <c r="G1284" s="17">
        <v>0.67780962298493097</v>
      </c>
      <c r="H1284" s="17">
        <v>0.723482514488894</v>
      </c>
      <c r="I1284" s="17">
        <v>0.71767808840488001</v>
      </c>
      <c r="J1284" s="17">
        <v>0.71842224510128905</v>
      </c>
      <c r="K1284" s="17">
        <v>0.73383204094254695</v>
      </c>
      <c r="L1284" s="17">
        <v>0.75887945026671799</v>
      </c>
      <c r="M1284" s="17"/>
      <c r="N1284" s="17">
        <v>0.69733650371828904</v>
      </c>
      <c r="O1284" s="17">
        <v>0.71818280092082598</v>
      </c>
      <c r="P1284" s="17">
        <v>0.59166109366270503</v>
      </c>
      <c r="Q1284" s="17">
        <v>0.76108433340125203</v>
      </c>
      <c r="R1284" s="17">
        <v>0.79170472435963102</v>
      </c>
      <c r="S1284" s="17">
        <v>0.63935508255955797</v>
      </c>
      <c r="T1284" s="17">
        <v>0.82090507816028602</v>
      </c>
      <c r="U1284" s="17">
        <v>0.79092852048517703</v>
      </c>
      <c r="V1284" s="17">
        <v>0.68010001107482898</v>
      </c>
      <c r="W1284" s="17"/>
      <c r="X1284" s="17">
        <v>0.784080439100452</v>
      </c>
      <c r="Y1284" s="17">
        <v>0.69704558279987106</v>
      </c>
    </row>
    <row r="1285" spans="2:25" x14ac:dyDescent="0.35">
      <c r="B1285" t="s">
        <v>492</v>
      </c>
      <c r="C1285" s="17">
        <v>4.5621626994690502E-2</v>
      </c>
      <c r="D1285" s="17">
        <v>4.4761896617075102E-2</v>
      </c>
      <c r="E1285" s="17">
        <v>4.6331535294493402E-2</v>
      </c>
      <c r="F1285" s="17"/>
      <c r="G1285" s="17">
        <v>5.20734386334782E-2</v>
      </c>
      <c r="H1285" s="17">
        <v>5.06336897487875E-2</v>
      </c>
      <c r="I1285" s="17">
        <v>5.0363451946803202E-2</v>
      </c>
      <c r="J1285" s="17">
        <v>4.8927779011588401E-2</v>
      </c>
      <c r="K1285" s="17">
        <v>4.0939456004276099E-2</v>
      </c>
      <c r="L1285" s="17">
        <v>3.8034524251556803E-2</v>
      </c>
      <c r="M1285" s="17"/>
      <c r="N1285" s="17">
        <v>3.2854468993481198E-2</v>
      </c>
      <c r="O1285" s="17">
        <v>4.1935404335385298E-2</v>
      </c>
      <c r="P1285" s="17">
        <v>8.5791317852424706E-2</v>
      </c>
      <c r="Q1285" s="17">
        <v>4.0941479091723097E-2</v>
      </c>
      <c r="R1285" s="17">
        <v>2.9186892088605299E-2</v>
      </c>
      <c r="S1285" s="17">
        <v>5.4116658909807297E-2</v>
      </c>
      <c r="T1285" s="17">
        <v>3.5524071633750098E-2</v>
      </c>
      <c r="U1285" s="17">
        <v>3.1239146210759301E-2</v>
      </c>
      <c r="V1285" s="17">
        <v>4.6655458207670697E-2</v>
      </c>
      <c r="W1285" s="17"/>
      <c r="X1285" s="17">
        <v>4.7522776560884397E-2</v>
      </c>
      <c r="Y1285" s="17">
        <v>4.4569594464028299E-2</v>
      </c>
    </row>
    <row r="1286" spans="2:25" x14ac:dyDescent="0.35">
      <c r="B1286" t="s">
        <v>92</v>
      </c>
      <c r="C1286" s="17">
        <v>0.68242898601554103</v>
      </c>
      <c r="D1286" s="17">
        <v>0.71889396687030704</v>
      </c>
      <c r="E1286" s="17">
        <v>0.64829477525121004</v>
      </c>
      <c r="F1286" s="17"/>
      <c r="G1286" s="17">
        <v>0.62573618435145295</v>
      </c>
      <c r="H1286" s="17">
        <v>0.67284882474010599</v>
      </c>
      <c r="I1286" s="17">
        <v>0.66731463645807698</v>
      </c>
      <c r="J1286" s="17">
        <v>0.66949446608970098</v>
      </c>
      <c r="K1286" s="17">
        <v>0.69289258493827099</v>
      </c>
      <c r="L1286" s="17">
        <v>0.72084492601516104</v>
      </c>
      <c r="M1286" s="17"/>
      <c r="N1286" s="17">
        <v>0.66448203472480805</v>
      </c>
      <c r="O1286" s="17">
        <v>0.67624739658543997</v>
      </c>
      <c r="P1286" s="17">
        <v>0.50586977581028003</v>
      </c>
      <c r="Q1286" s="17">
        <v>0.72014285430952896</v>
      </c>
      <c r="R1286" s="17">
        <v>0.76251783227102599</v>
      </c>
      <c r="S1286" s="17">
        <v>0.58523842364974998</v>
      </c>
      <c r="T1286" s="17">
        <v>0.78538100652653597</v>
      </c>
      <c r="U1286" s="17">
        <v>0.75968937427441696</v>
      </c>
      <c r="V1286" s="17">
        <v>0.63344455286715795</v>
      </c>
      <c r="W1286" s="17"/>
      <c r="X1286" s="17">
        <v>0.736557662539568</v>
      </c>
      <c r="Y1286" s="17">
        <v>0.65247598833584197</v>
      </c>
    </row>
    <row r="1287" spans="2:25" x14ac:dyDescent="0.35">
      <c r="C1287" s="17"/>
      <c r="D1287" s="17"/>
      <c r="E1287" s="17"/>
      <c r="F1287" s="17"/>
      <c r="G1287" s="17"/>
      <c r="H1287" s="17"/>
      <c r="I1287" s="17"/>
      <c r="J1287" s="17"/>
      <c r="K1287" s="17"/>
      <c r="L1287" s="17"/>
      <c r="M1287" s="17"/>
      <c r="N1287" s="17"/>
      <c r="O1287" s="17"/>
      <c r="P1287" s="17"/>
      <c r="Q1287" s="17"/>
      <c r="R1287" s="17"/>
      <c r="S1287" s="17"/>
      <c r="T1287" s="17"/>
      <c r="U1287" s="17"/>
      <c r="V1287" s="17"/>
      <c r="W1287" s="17"/>
      <c r="X1287" s="17"/>
      <c r="Y1287" s="17"/>
    </row>
    <row r="1288" spans="2:25" x14ac:dyDescent="0.35">
      <c r="B1288" s="6" t="s">
        <v>495</v>
      </c>
      <c r="C1288" s="17"/>
      <c r="D1288" s="17"/>
      <c r="E1288" s="17"/>
      <c r="F1288" s="17"/>
      <c r="G1288" s="17"/>
      <c r="H1288" s="17"/>
      <c r="I1288" s="17"/>
      <c r="J1288" s="17"/>
      <c r="K1288" s="17"/>
      <c r="L1288" s="17"/>
      <c r="M1288" s="17"/>
      <c r="N1288" s="17"/>
      <c r="O1288" s="17"/>
      <c r="P1288" s="17"/>
      <c r="Q1288" s="17"/>
      <c r="R1288" s="17"/>
      <c r="S1288" s="17"/>
      <c r="T1288" s="17"/>
      <c r="U1288" s="17"/>
      <c r="V1288" s="17"/>
      <c r="W1288" s="17"/>
      <c r="X1288" s="17"/>
      <c r="Y1288" s="17"/>
    </row>
    <row r="1289" spans="2:25" x14ac:dyDescent="0.35">
      <c r="B1289" s="24" t="s">
        <v>50</v>
      </c>
      <c r="C1289" s="17"/>
      <c r="D1289" s="17"/>
      <c r="E1289" s="17"/>
      <c r="F1289" s="17"/>
      <c r="G1289" s="17"/>
      <c r="H1289" s="17"/>
      <c r="I1289" s="17"/>
      <c r="J1289" s="17"/>
      <c r="K1289" s="17"/>
      <c r="L1289" s="17"/>
      <c r="M1289" s="17"/>
      <c r="N1289" s="17"/>
      <c r="O1289" s="17"/>
      <c r="P1289" s="17"/>
      <c r="Q1289" s="17"/>
      <c r="R1289" s="17"/>
      <c r="S1289" s="17"/>
      <c r="T1289" s="17"/>
      <c r="U1289" s="17"/>
      <c r="V1289" s="17"/>
      <c r="W1289" s="17"/>
      <c r="X1289" s="17"/>
      <c r="Y1289" s="17"/>
    </row>
    <row r="1290" spans="2:25" x14ac:dyDescent="0.35">
      <c r="B1290" t="s">
        <v>486</v>
      </c>
      <c r="C1290" s="17">
        <v>0.101982557768837</v>
      </c>
      <c r="D1290" s="17">
        <v>0.120204312389619</v>
      </c>
      <c r="E1290" s="17">
        <v>8.4137226144836694E-2</v>
      </c>
      <c r="F1290" s="17"/>
      <c r="G1290" s="17">
        <v>0.120665605328573</v>
      </c>
      <c r="H1290" s="17">
        <v>0.13973638073193601</v>
      </c>
      <c r="I1290" s="17">
        <v>0.112623324686001</v>
      </c>
      <c r="J1290" s="17">
        <v>0.107028924255526</v>
      </c>
      <c r="K1290" s="17">
        <v>7.8579044203412093E-2</v>
      </c>
      <c r="L1290" s="17">
        <v>7.7810694716673803E-2</v>
      </c>
      <c r="M1290" s="17"/>
      <c r="N1290" s="17">
        <v>6.7776652320899994E-2</v>
      </c>
      <c r="O1290" s="17">
        <v>2.9215042396990399E-2</v>
      </c>
      <c r="P1290" s="17">
        <v>0.106934355698814</v>
      </c>
      <c r="Q1290" s="17">
        <v>0.15358402503780499</v>
      </c>
      <c r="R1290" s="17">
        <v>0.14432824451342099</v>
      </c>
      <c r="S1290" s="17">
        <v>5.14587318463978E-2</v>
      </c>
      <c r="T1290" s="17">
        <v>6.6631809012103402E-2</v>
      </c>
      <c r="U1290" s="17">
        <v>0.13251172451097101</v>
      </c>
      <c r="V1290" s="17">
        <v>4.8246864778944E-2</v>
      </c>
      <c r="W1290" s="17"/>
      <c r="X1290" s="17">
        <v>0.106588246037311</v>
      </c>
      <c r="Y1290" s="17">
        <v>9.9433924052330605E-2</v>
      </c>
    </row>
    <row r="1291" spans="2:25" x14ac:dyDescent="0.35">
      <c r="B1291" t="s">
        <v>487</v>
      </c>
      <c r="C1291" s="17">
        <v>0.28154349925150102</v>
      </c>
      <c r="D1291" s="17">
        <v>0.30821449681524798</v>
      </c>
      <c r="E1291" s="17">
        <v>0.25662228612641202</v>
      </c>
      <c r="F1291" s="17"/>
      <c r="G1291" s="17">
        <v>0.27861975689656898</v>
      </c>
      <c r="H1291" s="17">
        <v>0.33080460388779398</v>
      </c>
      <c r="I1291" s="17">
        <v>0.30279652181968397</v>
      </c>
      <c r="J1291" s="17">
        <v>0.269525595927398</v>
      </c>
      <c r="K1291" s="17">
        <v>0.26802512337080597</v>
      </c>
      <c r="L1291" s="17">
        <v>0.25694739596788502</v>
      </c>
      <c r="M1291" s="17"/>
      <c r="N1291" s="17">
        <v>0.19947539279204299</v>
      </c>
      <c r="O1291" s="17">
        <v>0.11113469262421501</v>
      </c>
      <c r="P1291" s="17">
        <v>0.30876033631821698</v>
      </c>
      <c r="Q1291" s="17">
        <v>0.37243920821381399</v>
      </c>
      <c r="R1291" s="17">
        <v>0.35313702476485298</v>
      </c>
      <c r="S1291" s="17">
        <v>0.181631973322117</v>
      </c>
      <c r="T1291" s="17">
        <v>0.24152778941338501</v>
      </c>
      <c r="U1291" s="17">
        <v>0.32069797516833998</v>
      </c>
      <c r="V1291" s="17">
        <v>0.18881088217570799</v>
      </c>
      <c r="W1291" s="17"/>
      <c r="X1291" s="17">
        <v>0.30452603621070601</v>
      </c>
      <c r="Y1291" s="17">
        <v>0.26882573261800302</v>
      </c>
    </row>
    <row r="1292" spans="2:25" x14ac:dyDescent="0.35">
      <c r="B1292" t="s">
        <v>488</v>
      </c>
      <c r="C1292" s="17">
        <v>0.32623851336690302</v>
      </c>
      <c r="D1292" s="17">
        <v>0.31564708902128802</v>
      </c>
      <c r="E1292" s="17">
        <v>0.33666687248489002</v>
      </c>
      <c r="F1292" s="17"/>
      <c r="G1292" s="17">
        <v>0.31009837288797099</v>
      </c>
      <c r="H1292" s="17">
        <v>0.28724662650960497</v>
      </c>
      <c r="I1292" s="17">
        <v>0.31974794449045901</v>
      </c>
      <c r="J1292" s="17">
        <v>0.32964405805410002</v>
      </c>
      <c r="K1292" s="17">
        <v>0.36303217058800402</v>
      </c>
      <c r="L1292" s="17">
        <v>0.33294554402589999</v>
      </c>
      <c r="M1292" s="17"/>
      <c r="N1292" s="17">
        <v>0.35858525836335198</v>
      </c>
      <c r="O1292" s="17">
        <v>0.40657484579370401</v>
      </c>
      <c r="P1292" s="17">
        <v>0.32701355284470701</v>
      </c>
      <c r="Q1292" s="17">
        <v>0.28863352028008099</v>
      </c>
      <c r="R1292" s="17">
        <v>0.33365175918840301</v>
      </c>
      <c r="S1292" s="17">
        <v>0.34478535157899798</v>
      </c>
      <c r="T1292" s="17">
        <v>0.30598211759217597</v>
      </c>
      <c r="U1292" s="17">
        <v>0.334099607769824</v>
      </c>
      <c r="V1292" s="17">
        <v>0.32721087910745</v>
      </c>
      <c r="W1292" s="17"/>
      <c r="X1292" s="17">
        <v>0.31456775242627899</v>
      </c>
      <c r="Y1292" s="17">
        <v>0.33269672180323301</v>
      </c>
    </row>
    <row r="1293" spans="2:25" x14ac:dyDescent="0.35">
      <c r="B1293" t="s">
        <v>489</v>
      </c>
      <c r="C1293" s="17">
        <v>0.12698683081454901</v>
      </c>
      <c r="D1293" s="17">
        <v>0.137887816069652</v>
      </c>
      <c r="E1293" s="17">
        <v>0.11666202729611901</v>
      </c>
      <c r="F1293" s="17"/>
      <c r="G1293" s="17">
        <v>0.15228087400481299</v>
      </c>
      <c r="H1293" s="17">
        <v>0.13415551307016299</v>
      </c>
      <c r="I1293" s="17">
        <v>0.119267302500736</v>
      </c>
      <c r="J1293" s="17">
        <v>0.12598418033206099</v>
      </c>
      <c r="K1293" s="17">
        <v>0.12765159717444899</v>
      </c>
      <c r="L1293" s="17">
        <v>0.11852929318248701</v>
      </c>
      <c r="M1293" s="17"/>
      <c r="N1293" s="17">
        <v>0.17886574053738899</v>
      </c>
      <c r="O1293" s="17">
        <v>0.23366752570485499</v>
      </c>
      <c r="P1293" s="17">
        <v>9.4884518512471899E-2</v>
      </c>
      <c r="Q1293" s="17">
        <v>8.8036108608923497E-2</v>
      </c>
      <c r="R1293" s="17">
        <v>6.9661999917798395E-2</v>
      </c>
      <c r="S1293" s="17">
        <v>0.16759068429314999</v>
      </c>
      <c r="T1293" s="17">
        <v>0.198908966785699</v>
      </c>
      <c r="U1293" s="17">
        <v>0.104051850051929</v>
      </c>
      <c r="V1293" s="17">
        <v>0.14288509598428101</v>
      </c>
      <c r="W1293" s="17"/>
      <c r="X1293" s="17">
        <v>0.145874716642997</v>
      </c>
      <c r="Y1293" s="17">
        <v>0.11653490705205299</v>
      </c>
    </row>
    <row r="1294" spans="2:25" x14ac:dyDescent="0.35">
      <c r="B1294" t="s">
        <v>490</v>
      </c>
      <c r="C1294" s="17">
        <v>3.58435299725045E-2</v>
      </c>
      <c r="D1294" s="17">
        <v>3.9120853852381302E-2</v>
      </c>
      <c r="E1294" s="17">
        <v>3.2619686752679802E-2</v>
      </c>
      <c r="F1294" s="17"/>
      <c r="G1294" s="17">
        <v>5.1969184235070201E-2</v>
      </c>
      <c r="H1294" s="17">
        <v>3.1107909431986401E-2</v>
      </c>
      <c r="I1294" s="17">
        <v>3.9293677969595903E-2</v>
      </c>
      <c r="J1294" s="17">
        <v>3.6344069721240602E-2</v>
      </c>
      <c r="K1294" s="17">
        <v>2.7819787818976899E-2</v>
      </c>
      <c r="L1294" s="17">
        <v>3.5372069552526697E-2</v>
      </c>
      <c r="M1294" s="17"/>
      <c r="N1294" s="17">
        <v>3.6070541135581898E-2</v>
      </c>
      <c r="O1294" s="17">
        <v>3.6072682585058302E-2</v>
      </c>
      <c r="P1294" s="17">
        <v>3.0908434452844101E-2</v>
      </c>
      <c r="Q1294" s="17">
        <v>2.4536259819263901E-2</v>
      </c>
      <c r="R1294" s="17">
        <v>1.1675868424333199E-2</v>
      </c>
      <c r="S1294" s="17">
        <v>4.5522748226454197E-2</v>
      </c>
      <c r="T1294" s="17">
        <v>4.3050410166027397E-2</v>
      </c>
      <c r="U1294" s="17">
        <v>3.3432055152478102E-2</v>
      </c>
      <c r="V1294" s="17">
        <v>9.9706392489744694E-2</v>
      </c>
      <c r="W1294" s="17"/>
      <c r="X1294" s="17">
        <v>4.0892135644382502E-2</v>
      </c>
      <c r="Y1294" s="17">
        <v>3.3049800591215199E-2</v>
      </c>
    </row>
    <row r="1295" spans="2:25" x14ac:dyDescent="0.35">
      <c r="B1295" t="s">
        <v>80</v>
      </c>
      <c r="C1295" s="17">
        <v>0.12740506882570499</v>
      </c>
      <c r="D1295" s="17">
        <v>7.8925431851810293E-2</v>
      </c>
      <c r="E1295" s="17">
        <v>0.17329190119506299</v>
      </c>
      <c r="F1295" s="17"/>
      <c r="G1295" s="17">
        <v>8.6366206647004395E-2</v>
      </c>
      <c r="H1295" s="17">
        <v>7.6948966368515295E-2</v>
      </c>
      <c r="I1295" s="17">
        <v>0.106271228533525</v>
      </c>
      <c r="J1295" s="17">
        <v>0.13147317170967401</v>
      </c>
      <c r="K1295" s="17">
        <v>0.13489227684435301</v>
      </c>
      <c r="L1295" s="17">
        <v>0.178395002554528</v>
      </c>
      <c r="M1295" s="17"/>
      <c r="N1295" s="17">
        <v>0.15922641485073399</v>
      </c>
      <c r="O1295" s="17">
        <v>0.18333521089517801</v>
      </c>
      <c r="P1295" s="17">
        <v>0.13149880217294599</v>
      </c>
      <c r="Q1295" s="17">
        <v>7.2770878040112896E-2</v>
      </c>
      <c r="R1295" s="17">
        <v>8.75451031911917E-2</v>
      </c>
      <c r="S1295" s="17">
        <v>0.20901051073288299</v>
      </c>
      <c r="T1295" s="17">
        <v>0.14389890703060901</v>
      </c>
      <c r="U1295" s="17">
        <v>7.5206787346456402E-2</v>
      </c>
      <c r="V1295" s="17">
        <v>0.19313988546387201</v>
      </c>
      <c r="W1295" s="17"/>
      <c r="X1295" s="17">
        <v>8.7551113038324704E-2</v>
      </c>
      <c r="Y1295" s="17">
        <v>0.14945891388316501</v>
      </c>
    </row>
    <row r="1296" spans="2:25" x14ac:dyDescent="0.35">
      <c r="B1296" t="s">
        <v>491</v>
      </c>
      <c r="C1296" s="17">
        <v>0.38352605702033798</v>
      </c>
      <c r="D1296" s="17">
        <v>0.42841880920486802</v>
      </c>
      <c r="E1296" s="17">
        <v>0.34075951227124901</v>
      </c>
      <c r="F1296" s="17"/>
      <c r="G1296" s="17">
        <v>0.39928536222514199</v>
      </c>
      <c r="H1296" s="17">
        <v>0.47054098461972999</v>
      </c>
      <c r="I1296" s="17">
        <v>0.41541984650568498</v>
      </c>
      <c r="J1296" s="17">
        <v>0.37655452018292401</v>
      </c>
      <c r="K1296" s="17">
        <v>0.34660416757421803</v>
      </c>
      <c r="L1296" s="17">
        <v>0.33475809068455897</v>
      </c>
      <c r="M1296" s="17"/>
      <c r="N1296" s="17">
        <v>0.26725204511294298</v>
      </c>
      <c r="O1296" s="17">
        <v>0.14034973502120501</v>
      </c>
      <c r="P1296" s="17">
        <v>0.41569469201703102</v>
      </c>
      <c r="Q1296" s="17">
        <v>0.52602323325161904</v>
      </c>
      <c r="R1296" s="17">
        <v>0.497465269278274</v>
      </c>
      <c r="S1296" s="17">
        <v>0.23309070516851399</v>
      </c>
      <c r="T1296" s="17">
        <v>0.30815959842548801</v>
      </c>
      <c r="U1296" s="17">
        <v>0.45320969967931202</v>
      </c>
      <c r="V1296" s="17">
        <v>0.23705774695465201</v>
      </c>
      <c r="W1296" s="17"/>
      <c r="X1296" s="17">
        <v>0.41111428224801699</v>
      </c>
      <c r="Y1296" s="17">
        <v>0.368259656670334</v>
      </c>
    </row>
    <row r="1297" spans="2:25" x14ac:dyDescent="0.35">
      <c r="B1297" t="s">
        <v>492</v>
      </c>
      <c r="C1297" s="17">
        <v>0.16283036078705401</v>
      </c>
      <c r="D1297" s="17">
        <v>0.17700866992203401</v>
      </c>
      <c r="E1297" s="17">
        <v>0.149281714048799</v>
      </c>
      <c r="F1297" s="17"/>
      <c r="G1297" s="17">
        <v>0.20425005823988299</v>
      </c>
      <c r="H1297" s="17">
        <v>0.16526342250215001</v>
      </c>
      <c r="I1297" s="17">
        <v>0.15856098047033099</v>
      </c>
      <c r="J1297" s="17">
        <v>0.16232825005330201</v>
      </c>
      <c r="K1297" s="17">
        <v>0.155471384993425</v>
      </c>
      <c r="L1297" s="17">
        <v>0.15390136273501301</v>
      </c>
      <c r="M1297" s="17"/>
      <c r="N1297" s="17">
        <v>0.21493628167297099</v>
      </c>
      <c r="O1297" s="17">
        <v>0.26974020828991302</v>
      </c>
      <c r="P1297" s="17">
        <v>0.12579295296531601</v>
      </c>
      <c r="Q1297" s="17">
        <v>0.11257236842818701</v>
      </c>
      <c r="R1297" s="17">
        <v>8.1337868342131595E-2</v>
      </c>
      <c r="S1297" s="17">
        <v>0.21311343251960399</v>
      </c>
      <c r="T1297" s="17">
        <v>0.24195937695172601</v>
      </c>
      <c r="U1297" s="17">
        <v>0.13748390520440801</v>
      </c>
      <c r="V1297" s="17">
        <v>0.24259148847402601</v>
      </c>
      <c r="W1297" s="17"/>
      <c r="X1297" s="17">
        <v>0.18676685228737999</v>
      </c>
      <c r="Y1297" s="17">
        <v>0.149584707643269</v>
      </c>
    </row>
    <row r="1298" spans="2:25" x14ac:dyDescent="0.35">
      <c r="B1298" t="s">
        <v>92</v>
      </c>
      <c r="C1298" s="17">
        <v>0.220695696233284</v>
      </c>
      <c r="D1298" s="17">
        <v>0.25141013928283401</v>
      </c>
      <c r="E1298" s="17">
        <v>0.19147779822245001</v>
      </c>
      <c r="F1298" s="17"/>
      <c r="G1298" s="17">
        <v>0.19503530398525901</v>
      </c>
      <c r="H1298" s="17">
        <v>0.30527756211758</v>
      </c>
      <c r="I1298" s="17">
        <v>0.25685886603535302</v>
      </c>
      <c r="J1298" s="17">
        <v>0.214226270129622</v>
      </c>
      <c r="K1298" s="17">
        <v>0.191132782580792</v>
      </c>
      <c r="L1298" s="17">
        <v>0.18085672794954499</v>
      </c>
      <c r="M1298" s="17"/>
      <c r="N1298" s="17">
        <v>5.2315763439971803E-2</v>
      </c>
      <c r="O1298" s="17">
        <v>-0.12939047326870801</v>
      </c>
      <c r="P1298" s="17">
        <v>0.28990173905171501</v>
      </c>
      <c r="Q1298" s="17">
        <v>0.41345086482343102</v>
      </c>
      <c r="R1298" s="17">
        <v>0.41612740093614198</v>
      </c>
      <c r="S1298" s="17">
        <v>1.99772726489101E-2</v>
      </c>
      <c r="T1298" s="17">
        <v>6.62002214737622E-2</v>
      </c>
      <c r="U1298" s="17">
        <v>0.31572579447490401</v>
      </c>
      <c r="V1298" s="17">
        <v>-5.5337415193731599E-3</v>
      </c>
      <c r="W1298" s="17"/>
      <c r="X1298" s="17">
        <v>0.224347429960637</v>
      </c>
      <c r="Y1298" s="17">
        <v>0.218674949027065</v>
      </c>
    </row>
    <row r="1299" spans="2:25" x14ac:dyDescent="0.35">
      <c r="C1299" s="17"/>
      <c r="D1299" s="17"/>
      <c r="E1299" s="17"/>
      <c r="F1299" s="17"/>
      <c r="G1299" s="17"/>
      <c r="H1299" s="17"/>
      <c r="I1299" s="17"/>
      <c r="J1299" s="17"/>
      <c r="K1299" s="17"/>
      <c r="L1299" s="17"/>
      <c r="M1299" s="17"/>
      <c r="N1299" s="17"/>
      <c r="O1299" s="17"/>
      <c r="P1299" s="17"/>
      <c r="Q1299" s="17"/>
      <c r="R1299" s="17"/>
      <c r="S1299" s="17"/>
      <c r="T1299" s="17"/>
      <c r="U1299" s="17"/>
      <c r="V1299" s="17"/>
      <c r="W1299" s="17"/>
      <c r="X1299" s="17"/>
      <c r="Y1299" s="17"/>
    </row>
    <row r="1300" spans="2:25" x14ac:dyDescent="0.35">
      <c r="B1300" s="6" t="s">
        <v>496</v>
      </c>
      <c r="C1300" s="17"/>
      <c r="D1300" s="17"/>
      <c r="E1300" s="17"/>
      <c r="F1300" s="17"/>
      <c r="G1300" s="17"/>
      <c r="H1300" s="17"/>
      <c r="I1300" s="17"/>
      <c r="J1300" s="17"/>
      <c r="K1300" s="17"/>
      <c r="L1300" s="17"/>
      <c r="M1300" s="17"/>
      <c r="N1300" s="17"/>
      <c r="O1300" s="17"/>
      <c r="P1300" s="17"/>
      <c r="Q1300" s="17"/>
      <c r="R1300" s="17"/>
      <c r="S1300" s="17"/>
      <c r="T1300" s="17"/>
      <c r="U1300" s="17"/>
      <c r="V1300" s="17"/>
      <c r="W1300" s="17"/>
      <c r="X1300" s="17"/>
      <c r="Y1300" s="17"/>
    </row>
    <row r="1301" spans="2:25" x14ac:dyDescent="0.35">
      <c r="B1301" s="24" t="s">
        <v>50</v>
      </c>
      <c r="C1301" s="17"/>
      <c r="D1301" s="17"/>
      <c r="E1301" s="17"/>
      <c r="F1301" s="17"/>
      <c r="G1301" s="17"/>
      <c r="H1301" s="17"/>
      <c r="I1301" s="17"/>
      <c r="J1301" s="17"/>
      <c r="K1301" s="17"/>
      <c r="L1301" s="17"/>
      <c r="M1301" s="17"/>
      <c r="N1301" s="17"/>
      <c r="O1301" s="17"/>
      <c r="P1301" s="17"/>
      <c r="Q1301" s="17"/>
      <c r="R1301" s="17"/>
      <c r="S1301" s="17"/>
      <c r="T1301" s="17"/>
      <c r="U1301" s="17"/>
      <c r="V1301" s="17"/>
      <c r="W1301" s="17"/>
      <c r="X1301" s="17"/>
      <c r="Y1301" s="17"/>
    </row>
    <row r="1302" spans="2:25" x14ac:dyDescent="0.35">
      <c r="B1302" t="s">
        <v>486</v>
      </c>
      <c r="C1302" s="17">
        <v>0.37956775033770601</v>
      </c>
      <c r="D1302" s="17">
        <v>0.38244103138537999</v>
      </c>
      <c r="E1302" s="17">
        <v>0.37563947020970001</v>
      </c>
      <c r="F1302" s="17"/>
      <c r="G1302" s="17">
        <v>0.35167328085398297</v>
      </c>
      <c r="H1302" s="17">
        <v>0.36580578110319101</v>
      </c>
      <c r="I1302" s="17">
        <v>0.36878469435587302</v>
      </c>
      <c r="J1302" s="17">
        <v>0.36384331607767101</v>
      </c>
      <c r="K1302" s="17">
        <v>0.37859347645330699</v>
      </c>
      <c r="L1302" s="17">
        <v>0.41639884776414499</v>
      </c>
      <c r="M1302" s="17"/>
      <c r="N1302" s="17">
        <v>0.41175377014841902</v>
      </c>
      <c r="O1302" s="17">
        <v>0.37682966047623001</v>
      </c>
      <c r="P1302" s="17">
        <v>0.30715950011141702</v>
      </c>
      <c r="Q1302" s="17">
        <v>0.33656823158871202</v>
      </c>
      <c r="R1302" s="17">
        <v>0.43055816164098298</v>
      </c>
      <c r="S1302" s="17">
        <v>0.29745582175330199</v>
      </c>
      <c r="T1302" s="17">
        <v>0.38766589676505497</v>
      </c>
      <c r="U1302" s="17">
        <v>0.51721696173806297</v>
      </c>
      <c r="V1302" s="17">
        <v>0.36489181786547897</v>
      </c>
      <c r="W1302" s="17"/>
      <c r="X1302" s="17">
        <v>0.393095176406285</v>
      </c>
      <c r="Y1302" s="17">
        <v>0.372082125569759</v>
      </c>
    </row>
    <row r="1303" spans="2:25" x14ac:dyDescent="0.35">
      <c r="B1303" t="s">
        <v>487</v>
      </c>
      <c r="C1303" s="17">
        <v>0.425578677914142</v>
      </c>
      <c r="D1303" s="17">
        <v>0.42745209365693099</v>
      </c>
      <c r="E1303" s="17">
        <v>0.42457313732095903</v>
      </c>
      <c r="F1303" s="17"/>
      <c r="G1303" s="17">
        <v>0.42618306057628802</v>
      </c>
      <c r="H1303" s="17">
        <v>0.41727092680862998</v>
      </c>
      <c r="I1303" s="17">
        <v>0.43120021633776301</v>
      </c>
      <c r="J1303" s="17">
        <v>0.431535681406782</v>
      </c>
      <c r="K1303" s="17">
        <v>0.42097523432831602</v>
      </c>
      <c r="L1303" s="17">
        <v>0.42562523568993699</v>
      </c>
      <c r="M1303" s="17"/>
      <c r="N1303" s="17">
        <v>0.37219556588102398</v>
      </c>
      <c r="O1303" s="17">
        <v>0.442196144613972</v>
      </c>
      <c r="P1303" s="17">
        <v>0.48390620747212798</v>
      </c>
      <c r="Q1303" s="17">
        <v>0.40620881100455702</v>
      </c>
      <c r="R1303" s="17">
        <v>0.4461697200095</v>
      </c>
      <c r="S1303" s="17">
        <v>0.445795029985526</v>
      </c>
      <c r="T1303" s="17">
        <v>0.45296719485144099</v>
      </c>
      <c r="U1303" s="17">
        <v>0.34107350484151699</v>
      </c>
      <c r="V1303" s="17">
        <v>0.38913097681060299</v>
      </c>
      <c r="W1303" s="17"/>
      <c r="X1303" s="17">
        <v>0.42872208598898998</v>
      </c>
      <c r="Y1303" s="17">
        <v>0.42383922110827599</v>
      </c>
    </row>
    <row r="1304" spans="2:25" x14ac:dyDescent="0.35">
      <c r="B1304" t="s">
        <v>488</v>
      </c>
      <c r="C1304" s="17">
        <v>0.130714566752369</v>
      </c>
      <c r="D1304" s="17">
        <v>0.13399412354527401</v>
      </c>
      <c r="E1304" s="17">
        <v>0.12815023271501999</v>
      </c>
      <c r="F1304" s="17"/>
      <c r="G1304" s="17">
        <v>0.156012684703555</v>
      </c>
      <c r="H1304" s="17">
        <v>0.158722746128593</v>
      </c>
      <c r="I1304" s="17">
        <v>0.139466767705902</v>
      </c>
      <c r="J1304" s="17">
        <v>0.12524747394476499</v>
      </c>
      <c r="K1304" s="17">
        <v>0.14281020408653</v>
      </c>
      <c r="L1304" s="17">
        <v>9.4879758618727494E-2</v>
      </c>
      <c r="M1304" s="17"/>
      <c r="N1304" s="17">
        <v>0.14328503560102099</v>
      </c>
      <c r="O1304" s="17">
        <v>0.125888737454983</v>
      </c>
      <c r="P1304" s="17">
        <v>0.13537853052887</v>
      </c>
      <c r="Q1304" s="17">
        <v>0.17219403299513</v>
      </c>
      <c r="R1304" s="17">
        <v>9.4248195476497307E-2</v>
      </c>
      <c r="S1304" s="17">
        <v>0.175004904255563</v>
      </c>
      <c r="T1304" s="17">
        <v>9.2637648216662996E-2</v>
      </c>
      <c r="U1304" s="17">
        <v>0.101849637979275</v>
      </c>
      <c r="V1304" s="17">
        <v>0.15942140859515599</v>
      </c>
      <c r="W1304" s="17"/>
      <c r="X1304" s="17">
        <v>0.122752938703272</v>
      </c>
      <c r="Y1304" s="17">
        <v>0.13512026520640999</v>
      </c>
    </row>
    <row r="1305" spans="2:25" x14ac:dyDescent="0.35">
      <c r="B1305" t="s">
        <v>489</v>
      </c>
      <c r="C1305" s="17">
        <v>2.1282221781412501E-2</v>
      </c>
      <c r="D1305" s="17">
        <v>2.0902184049677301E-2</v>
      </c>
      <c r="E1305" s="17">
        <v>2.14107367984409E-2</v>
      </c>
      <c r="F1305" s="17"/>
      <c r="G1305" s="17">
        <v>3.4070734317733803E-2</v>
      </c>
      <c r="H1305" s="17">
        <v>3.4957879618821901E-2</v>
      </c>
      <c r="I1305" s="17">
        <v>2.15358355884855E-2</v>
      </c>
      <c r="J1305" s="17">
        <v>1.7924319451078901E-2</v>
      </c>
      <c r="K1305" s="17">
        <v>1.35546360342957E-2</v>
      </c>
      <c r="L1305" s="17">
        <v>1.56456190959204E-2</v>
      </c>
      <c r="M1305" s="17"/>
      <c r="N1305" s="17">
        <v>3.6552309875792402E-2</v>
      </c>
      <c r="O1305" s="17">
        <v>2.7050096877584799E-2</v>
      </c>
      <c r="P1305" s="17">
        <v>2.05408692300218E-2</v>
      </c>
      <c r="Q1305" s="17">
        <v>2.4940071948768901E-2</v>
      </c>
      <c r="R1305" s="17">
        <v>8.1521226614374599E-3</v>
      </c>
      <c r="S1305" s="17">
        <v>3.9220668741284798E-2</v>
      </c>
      <c r="T1305" s="17">
        <v>1.7844019605045398E-2</v>
      </c>
      <c r="U1305" s="17">
        <v>1.1136885632859601E-2</v>
      </c>
      <c r="V1305" s="17">
        <v>2.5151255144655299E-2</v>
      </c>
      <c r="W1305" s="17"/>
      <c r="X1305" s="17">
        <v>2.69744710961707E-2</v>
      </c>
      <c r="Y1305" s="17">
        <v>1.81323215535447E-2</v>
      </c>
    </row>
    <row r="1306" spans="2:25" x14ac:dyDescent="0.35">
      <c r="B1306" t="s">
        <v>490</v>
      </c>
      <c r="C1306" s="17">
        <v>1.1750991435995501E-2</v>
      </c>
      <c r="D1306" s="17">
        <v>1.1892928928453299E-2</v>
      </c>
      <c r="E1306" s="17">
        <v>1.1664391940057301E-2</v>
      </c>
      <c r="F1306" s="17"/>
      <c r="G1306" s="17">
        <v>1.10702218425271E-2</v>
      </c>
      <c r="H1306" s="17">
        <v>6.6808407635023199E-3</v>
      </c>
      <c r="I1306" s="17">
        <v>1.05201569351983E-2</v>
      </c>
      <c r="J1306" s="17">
        <v>1.8283241944106701E-2</v>
      </c>
      <c r="K1306" s="17">
        <v>1.09647802130887E-2</v>
      </c>
      <c r="L1306" s="17">
        <v>1.1849005715086E-2</v>
      </c>
      <c r="M1306" s="17"/>
      <c r="N1306" s="17">
        <v>1.7075522014677401E-2</v>
      </c>
      <c r="O1306" s="17">
        <v>3.5130108547229699E-3</v>
      </c>
      <c r="P1306" s="17">
        <v>1.5963098514426202E-2</v>
      </c>
      <c r="Q1306" s="17">
        <v>1.8490748471954699E-2</v>
      </c>
      <c r="R1306" s="17">
        <v>5.6511451595880197E-3</v>
      </c>
      <c r="S1306" s="17">
        <v>7.8618452943501598E-3</v>
      </c>
      <c r="T1306" s="17">
        <v>9.5810418397900797E-3</v>
      </c>
      <c r="U1306" s="17">
        <v>1.1912238577635599E-2</v>
      </c>
      <c r="V1306" s="17">
        <v>1.5793276694024E-2</v>
      </c>
      <c r="W1306" s="17"/>
      <c r="X1306" s="17">
        <v>1.21491265980698E-2</v>
      </c>
      <c r="Y1306" s="17">
        <v>1.1530676764519601E-2</v>
      </c>
    </row>
    <row r="1307" spans="2:25" x14ac:dyDescent="0.35">
      <c r="B1307" t="s">
        <v>80</v>
      </c>
      <c r="C1307" s="17">
        <v>3.11057917783754E-2</v>
      </c>
      <c r="D1307" s="17">
        <v>2.3317638434283999E-2</v>
      </c>
      <c r="E1307" s="17">
        <v>3.85620310158225E-2</v>
      </c>
      <c r="F1307" s="17"/>
      <c r="G1307" s="17">
        <v>2.09900177059133E-2</v>
      </c>
      <c r="H1307" s="17">
        <v>1.6561825577261401E-2</v>
      </c>
      <c r="I1307" s="17">
        <v>2.84923290767779E-2</v>
      </c>
      <c r="J1307" s="17">
        <v>4.3165967175596301E-2</v>
      </c>
      <c r="K1307" s="17">
        <v>3.3101668884462601E-2</v>
      </c>
      <c r="L1307" s="17">
        <v>3.5601533116184102E-2</v>
      </c>
      <c r="M1307" s="17"/>
      <c r="N1307" s="17">
        <v>1.9137796479065699E-2</v>
      </c>
      <c r="O1307" s="17">
        <v>2.4522349722506501E-2</v>
      </c>
      <c r="P1307" s="17">
        <v>3.7051794143137903E-2</v>
      </c>
      <c r="Q1307" s="17">
        <v>4.1598103990877502E-2</v>
      </c>
      <c r="R1307" s="17">
        <v>1.52206550519944E-2</v>
      </c>
      <c r="S1307" s="17">
        <v>3.4661729969974998E-2</v>
      </c>
      <c r="T1307" s="17">
        <v>3.9304198722005503E-2</v>
      </c>
      <c r="U1307" s="17">
        <v>1.6810771230649699E-2</v>
      </c>
      <c r="V1307" s="17">
        <v>4.5611264890082499E-2</v>
      </c>
      <c r="W1307" s="17"/>
      <c r="X1307" s="17">
        <v>1.6306201207212202E-2</v>
      </c>
      <c r="Y1307" s="17">
        <v>3.9295389797491399E-2</v>
      </c>
    </row>
    <row r="1308" spans="2:25" x14ac:dyDescent="0.35">
      <c r="B1308" t="s">
        <v>491</v>
      </c>
      <c r="C1308" s="17">
        <v>0.80514642825184801</v>
      </c>
      <c r="D1308" s="17">
        <v>0.80989312504231104</v>
      </c>
      <c r="E1308" s="17">
        <v>0.80021260753065904</v>
      </c>
      <c r="F1308" s="17"/>
      <c r="G1308" s="17">
        <v>0.77785634143027105</v>
      </c>
      <c r="H1308" s="17">
        <v>0.78307670791182105</v>
      </c>
      <c r="I1308" s="17">
        <v>0.79998491069363697</v>
      </c>
      <c r="J1308" s="17">
        <v>0.79537899748445295</v>
      </c>
      <c r="K1308" s="17">
        <v>0.79956871078162295</v>
      </c>
      <c r="L1308" s="17">
        <v>0.84202408345408197</v>
      </c>
      <c r="M1308" s="17"/>
      <c r="N1308" s="17">
        <v>0.78394933602944294</v>
      </c>
      <c r="O1308" s="17">
        <v>0.81902580509020195</v>
      </c>
      <c r="P1308" s="17">
        <v>0.791065707583544</v>
      </c>
      <c r="Q1308" s="17">
        <v>0.74277704259326904</v>
      </c>
      <c r="R1308" s="17">
        <v>0.87672788165048299</v>
      </c>
      <c r="S1308" s="17">
        <v>0.74325085173882799</v>
      </c>
      <c r="T1308" s="17">
        <v>0.84063309161649602</v>
      </c>
      <c r="U1308" s="17">
        <v>0.85829046657958097</v>
      </c>
      <c r="V1308" s="17">
        <v>0.75402279467608202</v>
      </c>
      <c r="W1308" s="17"/>
      <c r="X1308" s="17">
        <v>0.82181726239527497</v>
      </c>
      <c r="Y1308" s="17">
        <v>0.79592134667803405</v>
      </c>
    </row>
    <row r="1309" spans="2:25" x14ac:dyDescent="0.35">
      <c r="B1309" t="s">
        <v>492</v>
      </c>
      <c r="C1309" s="17">
        <v>3.3033213217408097E-2</v>
      </c>
      <c r="D1309" s="17">
        <v>3.2795112978130703E-2</v>
      </c>
      <c r="E1309" s="17">
        <v>3.3075128738498202E-2</v>
      </c>
      <c r="F1309" s="17"/>
      <c r="G1309" s="17">
        <v>4.5140956160260898E-2</v>
      </c>
      <c r="H1309" s="17">
        <v>4.1638720382324197E-2</v>
      </c>
      <c r="I1309" s="17">
        <v>3.2055992523683803E-2</v>
      </c>
      <c r="J1309" s="17">
        <v>3.6207561395185599E-2</v>
      </c>
      <c r="K1309" s="17">
        <v>2.45194162473844E-2</v>
      </c>
      <c r="L1309" s="17">
        <v>2.74946248110064E-2</v>
      </c>
      <c r="M1309" s="17"/>
      <c r="N1309" s="17">
        <v>5.3627831890469803E-2</v>
      </c>
      <c r="O1309" s="17">
        <v>3.05631077323078E-2</v>
      </c>
      <c r="P1309" s="17">
        <v>3.6503967744447897E-2</v>
      </c>
      <c r="Q1309" s="17">
        <v>4.3430820420723597E-2</v>
      </c>
      <c r="R1309" s="17">
        <v>1.38032678210255E-2</v>
      </c>
      <c r="S1309" s="17">
        <v>4.7082514035635001E-2</v>
      </c>
      <c r="T1309" s="17">
        <v>2.7425061444835402E-2</v>
      </c>
      <c r="U1309" s="17">
        <v>2.3049124210495198E-2</v>
      </c>
      <c r="V1309" s="17">
        <v>4.0944531838679202E-2</v>
      </c>
      <c r="W1309" s="17"/>
      <c r="X1309" s="17">
        <v>3.9123597694240501E-2</v>
      </c>
      <c r="Y1309" s="17">
        <v>2.96629983180643E-2</v>
      </c>
    </row>
    <row r="1310" spans="2:25" x14ac:dyDescent="0.35">
      <c r="B1310" t="s">
        <v>92</v>
      </c>
      <c r="C1310" s="17">
        <v>0.77211321503443997</v>
      </c>
      <c r="D1310" s="17">
        <v>0.77709801206418005</v>
      </c>
      <c r="E1310" s="17">
        <v>0.76713747879216099</v>
      </c>
      <c r="F1310" s="17"/>
      <c r="G1310" s="17">
        <v>0.73271538527001001</v>
      </c>
      <c r="H1310" s="17">
        <v>0.74143798752949697</v>
      </c>
      <c r="I1310" s="17">
        <v>0.76792891816995301</v>
      </c>
      <c r="J1310" s="17">
        <v>0.75917143608926796</v>
      </c>
      <c r="K1310" s="17">
        <v>0.77504929453423799</v>
      </c>
      <c r="L1310" s="17">
        <v>0.81452945864307602</v>
      </c>
      <c r="M1310" s="17"/>
      <c r="N1310" s="17">
        <v>0.73032150413897301</v>
      </c>
      <c r="O1310" s="17">
        <v>0.78846269735789498</v>
      </c>
      <c r="P1310" s="17">
        <v>0.75456173983909602</v>
      </c>
      <c r="Q1310" s="17">
        <v>0.69934622217254505</v>
      </c>
      <c r="R1310" s="17">
        <v>0.86292461382945795</v>
      </c>
      <c r="S1310" s="17">
        <v>0.69616833770319297</v>
      </c>
      <c r="T1310" s="17">
        <v>0.81320803017166099</v>
      </c>
      <c r="U1310" s="17">
        <v>0.83524134236908498</v>
      </c>
      <c r="V1310" s="17">
        <v>0.71307826283740305</v>
      </c>
      <c r="W1310" s="17"/>
      <c r="X1310" s="17">
        <v>0.78269366470103496</v>
      </c>
      <c r="Y1310" s="17">
        <v>0.76625834835996998</v>
      </c>
    </row>
    <row r="1311" spans="2:25" x14ac:dyDescent="0.35">
      <c r="C1311" s="17"/>
      <c r="D1311" s="17"/>
      <c r="E1311" s="17"/>
      <c r="F1311" s="17"/>
      <c r="G1311" s="17"/>
      <c r="H1311" s="17"/>
      <c r="I1311" s="17"/>
      <c r="J1311" s="17"/>
      <c r="K1311" s="17"/>
      <c r="L1311" s="17"/>
      <c r="M1311" s="17"/>
      <c r="N1311" s="17"/>
      <c r="O1311" s="17"/>
      <c r="P1311" s="17"/>
      <c r="Q1311" s="17"/>
      <c r="R1311" s="17"/>
      <c r="S1311" s="17"/>
      <c r="T1311" s="17"/>
      <c r="U1311" s="17"/>
      <c r="V1311" s="17"/>
      <c r="W1311" s="17"/>
      <c r="X1311" s="17"/>
      <c r="Y1311" s="17"/>
    </row>
    <row r="1312" spans="2:25" x14ac:dyDescent="0.35">
      <c r="B1312" s="6" t="s">
        <v>497</v>
      </c>
      <c r="C1312" s="17"/>
      <c r="D1312" s="17"/>
      <c r="E1312" s="17"/>
      <c r="F1312" s="17"/>
      <c r="G1312" s="17"/>
      <c r="H1312" s="17"/>
      <c r="I1312" s="17"/>
      <c r="J1312" s="17"/>
      <c r="K1312" s="17"/>
      <c r="L1312" s="17"/>
      <c r="M1312" s="17"/>
      <c r="N1312" s="17"/>
      <c r="O1312" s="17"/>
      <c r="P1312" s="17"/>
      <c r="Q1312" s="17"/>
      <c r="R1312" s="17"/>
      <c r="S1312" s="17"/>
      <c r="T1312" s="17"/>
      <c r="U1312" s="17"/>
      <c r="V1312" s="17"/>
      <c r="W1312" s="17"/>
      <c r="X1312" s="17"/>
      <c r="Y1312" s="17"/>
    </row>
    <row r="1313" spans="2:25" x14ac:dyDescent="0.35">
      <c r="B1313" s="24" t="s">
        <v>50</v>
      </c>
      <c r="C1313" s="17"/>
      <c r="D1313" s="17"/>
      <c r="E1313" s="17"/>
      <c r="F1313" s="17"/>
      <c r="G1313" s="17"/>
      <c r="H1313" s="17"/>
      <c r="I1313" s="17"/>
      <c r="J1313" s="17"/>
      <c r="K1313" s="17"/>
      <c r="L1313" s="17"/>
      <c r="M1313" s="17"/>
      <c r="N1313" s="17"/>
      <c r="O1313" s="17"/>
      <c r="P1313" s="17"/>
      <c r="Q1313" s="17"/>
      <c r="R1313" s="17"/>
      <c r="S1313" s="17"/>
      <c r="T1313" s="17"/>
      <c r="U1313" s="17"/>
      <c r="V1313" s="17"/>
      <c r="W1313" s="17"/>
      <c r="X1313" s="17"/>
      <c r="Y1313" s="17"/>
    </row>
    <row r="1314" spans="2:25" x14ac:dyDescent="0.35">
      <c r="B1314" t="s">
        <v>486</v>
      </c>
      <c r="C1314" s="17">
        <v>0.35297194314498798</v>
      </c>
      <c r="D1314" s="17">
        <v>0.35068176477093399</v>
      </c>
      <c r="E1314" s="17">
        <v>0.354059065728484</v>
      </c>
      <c r="F1314" s="17"/>
      <c r="G1314" s="17">
        <v>0.363371318058336</v>
      </c>
      <c r="H1314" s="17">
        <v>0.32979925926403197</v>
      </c>
      <c r="I1314" s="17">
        <v>0.35977170982245299</v>
      </c>
      <c r="J1314" s="17">
        <v>0.35034844502777801</v>
      </c>
      <c r="K1314" s="17">
        <v>0.36457588361794802</v>
      </c>
      <c r="L1314" s="17">
        <v>0.35261282817332601</v>
      </c>
      <c r="M1314" s="17"/>
      <c r="N1314" s="17">
        <v>0.32862600335095199</v>
      </c>
      <c r="O1314" s="17">
        <v>0.35282764978187903</v>
      </c>
      <c r="P1314" s="17">
        <v>0.27662017159540497</v>
      </c>
      <c r="Q1314" s="17">
        <v>0.33275109455556001</v>
      </c>
      <c r="R1314" s="17">
        <v>0.43305788083836499</v>
      </c>
      <c r="S1314" s="17">
        <v>0.22198912760065201</v>
      </c>
      <c r="T1314" s="17">
        <v>0.38280359012722898</v>
      </c>
      <c r="U1314" s="17">
        <v>0.490173608338135</v>
      </c>
      <c r="V1314" s="17">
        <v>0.31595430144550202</v>
      </c>
      <c r="W1314" s="17"/>
      <c r="X1314" s="17">
        <v>0.33713058057800899</v>
      </c>
      <c r="Y1314" s="17">
        <v>0.36173802291420898</v>
      </c>
    </row>
    <row r="1315" spans="2:25" x14ac:dyDescent="0.35">
      <c r="B1315" t="s">
        <v>487</v>
      </c>
      <c r="C1315" s="17">
        <v>0.32903883347586699</v>
      </c>
      <c r="D1315" s="17">
        <v>0.338136622705562</v>
      </c>
      <c r="E1315" s="17">
        <v>0.32145251217110399</v>
      </c>
      <c r="F1315" s="17"/>
      <c r="G1315" s="17">
        <v>0.34121398139274001</v>
      </c>
      <c r="H1315" s="17">
        <v>0.35803404623544199</v>
      </c>
      <c r="I1315" s="17">
        <v>0.359016519011497</v>
      </c>
      <c r="J1315" s="17">
        <v>0.31520406987147198</v>
      </c>
      <c r="K1315" s="17">
        <v>0.30790119849459402</v>
      </c>
      <c r="L1315" s="17">
        <v>0.31148106681368598</v>
      </c>
      <c r="M1315" s="17"/>
      <c r="N1315" s="17">
        <v>0.252228007984233</v>
      </c>
      <c r="O1315" s="17">
        <v>0.25892286773753898</v>
      </c>
      <c r="P1315" s="17">
        <v>0.37960296412789302</v>
      </c>
      <c r="Q1315" s="17">
        <v>0.30606503143510699</v>
      </c>
      <c r="R1315" s="17">
        <v>0.36978747925732502</v>
      </c>
      <c r="S1315" s="17">
        <v>0.304055760342548</v>
      </c>
      <c r="T1315" s="17">
        <v>0.38967545365643802</v>
      </c>
      <c r="U1315" s="17">
        <v>0.26433018457197199</v>
      </c>
      <c r="V1315" s="17">
        <v>0.30605337354860401</v>
      </c>
      <c r="W1315" s="17"/>
      <c r="X1315" s="17">
        <v>0.32908535288757601</v>
      </c>
      <c r="Y1315" s="17">
        <v>0.329013091190623</v>
      </c>
    </row>
    <row r="1316" spans="2:25" x14ac:dyDescent="0.35">
      <c r="B1316" t="s">
        <v>488</v>
      </c>
      <c r="C1316" s="17">
        <v>0.18328152897519701</v>
      </c>
      <c r="D1316" s="17">
        <v>0.193008057476138</v>
      </c>
      <c r="E1316" s="17">
        <v>0.174582445247569</v>
      </c>
      <c r="F1316" s="17"/>
      <c r="G1316" s="17">
        <v>0.18415888068106401</v>
      </c>
      <c r="H1316" s="17">
        <v>0.17360251667513801</v>
      </c>
      <c r="I1316" s="17">
        <v>0.17794535940684</v>
      </c>
      <c r="J1316" s="17">
        <v>0.18076078925403399</v>
      </c>
      <c r="K1316" s="17">
        <v>0.18984752480406999</v>
      </c>
      <c r="L1316" s="17">
        <v>0.18950843483903301</v>
      </c>
      <c r="M1316" s="17"/>
      <c r="N1316" s="17">
        <v>0.26629528111255601</v>
      </c>
      <c r="O1316" s="17">
        <v>0.23111566482724599</v>
      </c>
      <c r="P1316" s="17">
        <v>0.20129095789253401</v>
      </c>
      <c r="Q1316" s="17">
        <v>0.17585492368140601</v>
      </c>
      <c r="R1316" s="17">
        <v>0.14944895164785699</v>
      </c>
      <c r="S1316" s="17">
        <v>0.25090866121358801</v>
      </c>
      <c r="T1316" s="17">
        <v>0.100200944204017</v>
      </c>
      <c r="U1316" s="17">
        <v>0.166765366674404</v>
      </c>
      <c r="V1316" s="17">
        <v>0.25412924804970199</v>
      </c>
      <c r="W1316" s="17"/>
      <c r="X1316" s="17">
        <v>0.189488489135336</v>
      </c>
      <c r="Y1316" s="17">
        <v>0.17984680499497799</v>
      </c>
    </row>
    <row r="1317" spans="2:25" x14ac:dyDescent="0.35">
      <c r="B1317" t="s">
        <v>489</v>
      </c>
      <c r="C1317" s="17">
        <v>5.5273012981920097E-2</v>
      </c>
      <c r="D1317" s="17">
        <v>5.1644076101664299E-2</v>
      </c>
      <c r="E1317" s="17">
        <v>5.8910466347829198E-2</v>
      </c>
      <c r="F1317" s="17"/>
      <c r="G1317" s="17">
        <v>5.48829573762896E-2</v>
      </c>
      <c r="H1317" s="17">
        <v>6.9645491953002597E-2</v>
      </c>
      <c r="I1317" s="17">
        <v>5.6182188350417599E-2</v>
      </c>
      <c r="J1317" s="17">
        <v>7.1172893290560896E-2</v>
      </c>
      <c r="K1317" s="17">
        <v>5.3601024829855397E-2</v>
      </c>
      <c r="L1317" s="17">
        <v>3.6562054131521998E-2</v>
      </c>
      <c r="M1317" s="17"/>
      <c r="N1317" s="17">
        <v>5.0815073130584497E-2</v>
      </c>
      <c r="O1317" s="17">
        <v>5.5774134710307101E-2</v>
      </c>
      <c r="P1317" s="17">
        <v>5.93150769300523E-2</v>
      </c>
      <c r="Q1317" s="17">
        <v>7.6733283281477493E-2</v>
      </c>
      <c r="R1317" s="17">
        <v>1.7427156990958599E-2</v>
      </c>
      <c r="S1317" s="17">
        <v>0.111350152527906</v>
      </c>
      <c r="T1317" s="17">
        <v>4.75111985183303E-2</v>
      </c>
      <c r="U1317" s="17">
        <v>2.7392744051120702E-2</v>
      </c>
      <c r="V1317" s="17">
        <v>3.7455882026770103E-2</v>
      </c>
      <c r="W1317" s="17"/>
      <c r="X1317" s="17">
        <v>7.4408751291460698E-2</v>
      </c>
      <c r="Y1317" s="17">
        <v>4.4683935953026402E-2</v>
      </c>
    </row>
    <row r="1318" spans="2:25" x14ac:dyDescent="0.35">
      <c r="B1318" t="s">
        <v>490</v>
      </c>
      <c r="C1318" s="17">
        <v>3.8273379928196002E-2</v>
      </c>
      <c r="D1318" s="17">
        <v>3.5356234907970199E-2</v>
      </c>
      <c r="E1318" s="17">
        <v>4.0266742510233197E-2</v>
      </c>
      <c r="F1318" s="17"/>
      <c r="G1318" s="17">
        <v>3.5918771014940502E-2</v>
      </c>
      <c r="H1318" s="17">
        <v>4.15892164742723E-2</v>
      </c>
      <c r="I1318" s="17">
        <v>2.2903075239774001E-2</v>
      </c>
      <c r="J1318" s="17">
        <v>4.2050303440707003E-2</v>
      </c>
      <c r="K1318" s="17">
        <v>4.3633902573852697E-2</v>
      </c>
      <c r="L1318" s="17">
        <v>4.0936680974496799E-2</v>
      </c>
      <c r="M1318" s="17"/>
      <c r="N1318" s="17">
        <v>7.0085444511237105E-2</v>
      </c>
      <c r="O1318" s="17">
        <v>6.0278927267481103E-2</v>
      </c>
      <c r="P1318" s="17">
        <v>3.4831722527785901E-2</v>
      </c>
      <c r="Q1318" s="17">
        <v>4.9863898482102001E-2</v>
      </c>
      <c r="R1318" s="17">
        <v>9.3234194387146994E-3</v>
      </c>
      <c r="S1318" s="17">
        <v>5.8933149506986401E-2</v>
      </c>
      <c r="T1318" s="17">
        <v>3.3693257154937102E-2</v>
      </c>
      <c r="U1318" s="17">
        <v>2.56818327960564E-2</v>
      </c>
      <c r="V1318" s="17">
        <v>5.40988783660101E-2</v>
      </c>
      <c r="W1318" s="17"/>
      <c r="X1318" s="17">
        <v>3.8791742967446897E-2</v>
      </c>
      <c r="Y1318" s="17">
        <v>3.7986535174010502E-2</v>
      </c>
    </row>
    <row r="1319" spans="2:25" x14ac:dyDescent="0.35">
      <c r="B1319" t="s">
        <v>80</v>
      </c>
      <c r="C1319" s="17">
        <v>4.1161301493832098E-2</v>
      </c>
      <c r="D1319" s="17">
        <v>3.11732440377319E-2</v>
      </c>
      <c r="E1319" s="17">
        <v>5.0728767994780703E-2</v>
      </c>
      <c r="F1319" s="17"/>
      <c r="G1319" s="17">
        <v>2.04540914766289E-2</v>
      </c>
      <c r="H1319" s="17">
        <v>2.7329469398112E-2</v>
      </c>
      <c r="I1319" s="17">
        <v>2.4181148169018101E-2</v>
      </c>
      <c r="J1319" s="17">
        <v>4.0463499115447499E-2</v>
      </c>
      <c r="K1319" s="17">
        <v>4.0440465679680397E-2</v>
      </c>
      <c r="L1319" s="17">
        <v>6.8898935067935693E-2</v>
      </c>
      <c r="M1319" s="17"/>
      <c r="N1319" s="17">
        <v>3.1950189910437597E-2</v>
      </c>
      <c r="O1319" s="17">
        <v>4.1080755675547198E-2</v>
      </c>
      <c r="P1319" s="17">
        <v>4.8339106926330602E-2</v>
      </c>
      <c r="Q1319" s="17">
        <v>5.8731768564347503E-2</v>
      </c>
      <c r="R1319" s="17">
        <v>2.0955111826780198E-2</v>
      </c>
      <c r="S1319" s="17">
        <v>5.27631488083199E-2</v>
      </c>
      <c r="T1319" s="17">
        <v>4.6115556339049603E-2</v>
      </c>
      <c r="U1319" s="17">
        <v>2.5656263568311698E-2</v>
      </c>
      <c r="V1319" s="17">
        <v>3.2308316563412001E-2</v>
      </c>
      <c r="W1319" s="17"/>
      <c r="X1319" s="17">
        <v>3.1095083140172199E-2</v>
      </c>
      <c r="Y1319" s="17">
        <v>4.6731609773153902E-2</v>
      </c>
    </row>
    <row r="1320" spans="2:25" x14ac:dyDescent="0.35">
      <c r="B1320" t="s">
        <v>491</v>
      </c>
      <c r="C1320" s="17">
        <v>0.68201077662085496</v>
      </c>
      <c r="D1320" s="17">
        <v>0.68881838747649504</v>
      </c>
      <c r="E1320" s="17">
        <v>0.67551157789958804</v>
      </c>
      <c r="F1320" s="17"/>
      <c r="G1320" s="17">
        <v>0.70458529945107695</v>
      </c>
      <c r="H1320" s="17">
        <v>0.68783330549947497</v>
      </c>
      <c r="I1320" s="17">
        <v>0.71878822883394999</v>
      </c>
      <c r="J1320" s="17">
        <v>0.66555251489925005</v>
      </c>
      <c r="K1320" s="17">
        <v>0.67247708211254198</v>
      </c>
      <c r="L1320" s="17">
        <v>0.66409389498701199</v>
      </c>
      <c r="M1320" s="17"/>
      <c r="N1320" s="17">
        <v>0.58085401133518499</v>
      </c>
      <c r="O1320" s="17">
        <v>0.611750517519418</v>
      </c>
      <c r="P1320" s="17">
        <v>0.65622313572329805</v>
      </c>
      <c r="Q1320" s="17">
        <v>0.63881612599066695</v>
      </c>
      <c r="R1320" s="17">
        <v>0.80284536009568996</v>
      </c>
      <c r="S1320" s="17">
        <v>0.52604488794319904</v>
      </c>
      <c r="T1320" s="17">
        <v>0.77247904378366605</v>
      </c>
      <c r="U1320" s="17">
        <v>0.75450379291010705</v>
      </c>
      <c r="V1320" s="17">
        <v>0.62200767499410603</v>
      </c>
      <c r="W1320" s="17"/>
      <c r="X1320" s="17">
        <v>0.66621593346558405</v>
      </c>
      <c r="Y1320" s="17">
        <v>0.69075111410483203</v>
      </c>
    </row>
    <row r="1321" spans="2:25" x14ac:dyDescent="0.35">
      <c r="B1321" t="s">
        <v>492</v>
      </c>
      <c r="C1321" s="17">
        <v>9.3546392910116197E-2</v>
      </c>
      <c r="D1321" s="17">
        <v>8.7000311009634498E-2</v>
      </c>
      <c r="E1321" s="17">
        <v>9.9177208858062402E-2</v>
      </c>
      <c r="F1321" s="17"/>
      <c r="G1321" s="17">
        <v>9.0801728391230005E-2</v>
      </c>
      <c r="H1321" s="17">
        <v>0.11123470842727499</v>
      </c>
      <c r="I1321" s="17">
        <v>7.9085263590191607E-2</v>
      </c>
      <c r="J1321" s="17">
        <v>0.113223196731268</v>
      </c>
      <c r="K1321" s="17">
        <v>9.7234927403708094E-2</v>
      </c>
      <c r="L1321" s="17">
        <v>7.7498735106018804E-2</v>
      </c>
      <c r="M1321" s="17"/>
      <c r="N1321" s="17">
        <v>0.120900517641822</v>
      </c>
      <c r="O1321" s="17">
        <v>0.116053061977788</v>
      </c>
      <c r="P1321" s="17">
        <v>9.4146799457838298E-2</v>
      </c>
      <c r="Q1321" s="17">
        <v>0.12659718176358001</v>
      </c>
      <c r="R1321" s="17">
        <v>2.6750576429673299E-2</v>
      </c>
      <c r="S1321" s="17">
        <v>0.170283302034893</v>
      </c>
      <c r="T1321" s="17">
        <v>8.1204455673267298E-2</v>
      </c>
      <c r="U1321" s="17">
        <v>5.3074576847177098E-2</v>
      </c>
      <c r="V1321" s="17">
        <v>9.1554760392780196E-2</v>
      </c>
      <c r="W1321" s="17"/>
      <c r="X1321" s="17">
        <v>0.113200494258908</v>
      </c>
      <c r="Y1321" s="17">
        <v>8.2670471127037001E-2</v>
      </c>
    </row>
    <row r="1322" spans="2:25" x14ac:dyDescent="0.35">
      <c r="B1322" t="s">
        <v>92</v>
      </c>
      <c r="C1322" s="17">
        <v>0.58846438371073795</v>
      </c>
      <c r="D1322" s="17">
        <v>0.60181807646686103</v>
      </c>
      <c r="E1322" s="17">
        <v>0.57633436904152602</v>
      </c>
      <c r="F1322" s="17"/>
      <c r="G1322" s="17">
        <v>0.61378357105984704</v>
      </c>
      <c r="H1322" s="17">
        <v>0.57659859707219996</v>
      </c>
      <c r="I1322" s="17">
        <v>0.63970296524375903</v>
      </c>
      <c r="J1322" s="17">
        <v>0.55232931816798203</v>
      </c>
      <c r="K1322" s="17">
        <v>0.575242154708834</v>
      </c>
      <c r="L1322" s="17">
        <v>0.58659515988099298</v>
      </c>
      <c r="M1322" s="17"/>
      <c r="N1322" s="17">
        <v>0.45995349369336302</v>
      </c>
      <c r="O1322" s="17">
        <v>0.49569745554163003</v>
      </c>
      <c r="P1322" s="17">
        <v>0.56207633626545905</v>
      </c>
      <c r="Q1322" s="17">
        <v>0.51221894422708703</v>
      </c>
      <c r="R1322" s="17">
        <v>0.77609478366601603</v>
      </c>
      <c r="S1322" s="17">
        <v>0.35576158590830698</v>
      </c>
      <c r="T1322" s="17">
        <v>0.69127458811039899</v>
      </c>
      <c r="U1322" s="17">
        <v>0.70142921606292996</v>
      </c>
      <c r="V1322" s="17">
        <v>0.53045291460132604</v>
      </c>
      <c r="W1322" s="17"/>
      <c r="X1322" s="17">
        <v>0.55301543920667695</v>
      </c>
      <c r="Y1322" s="17">
        <v>0.60808064297779496</v>
      </c>
    </row>
    <row r="1323" spans="2:25" x14ac:dyDescent="0.35">
      <c r="C1323" s="17"/>
      <c r="D1323" s="17"/>
      <c r="E1323" s="17"/>
      <c r="F1323" s="17"/>
      <c r="G1323" s="17"/>
      <c r="H1323" s="17"/>
      <c r="I1323" s="17"/>
      <c r="J1323" s="17"/>
      <c r="K1323" s="17"/>
      <c r="L1323" s="17"/>
      <c r="M1323" s="17"/>
      <c r="N1323" s="17"/>
      <c r="O1323" s="17"/>
      <c r="P1323" s="17"/>
      <c r="Q1323" s="17"/>
      <c r="R1323" s="17"/>
      <c r="S1323" s="17"/>
      <c r="T1323" s="17"/>
      <c r="U1323" s="17"/>
      <c r="V1323" s="17"/>
      <c r="W1323" s="17"/>
      <c r="X1323" s="17"/>
      <c r="Y1323" s="17"/>
    </row>
    <row r="1324" spans="2:25" x14ac:dyDescent="0.35">
      <c r="B1324" s="6" t="s">
        <v>498</v>
      </c>
      <c r="C1324" s="17"/>
      <c r="D1324" s="17"/>
      <c r="E1324" s="17"/>
      <c r="F1324" s="17"/>
      <c r="G1324" s="17"/>
      <c r="H1324" s="17"/>
      <c r="I1324" s="17"/>
      <c r="J1324" s="17"/>
      <c r="K1324" s="17"/>
      <c r="L1324" s="17"/>
      <c r="M1324" s="17"/>
      <c r="N1324" s="17"/>
      <c r="O1324" s="17"/>
      <c r="P1324" s="17"/>
      <c r="Q1324" s="17"/>
      <c r="R1324" s="17"/>
      <c r="S1324" s="17"/>
      <c r="T1324" s="17"/>
      <c r="U1324" s="17"/>
      <c r="V1324" s="17"/>
      <c r="W1324" s="17"/>
      <c r="X1324" s="17"/>
      <c r="Y1324" s="17"/>
    </row>
    <row r="1325" spans="2:25" x14ac:dyDescent="0.35">
      <c r="B1325" s="24" t="s">
        <v>50</v>
      </c>
      <c r="C1325" s="17"/>
      <c r="D1325" s="17"/>
      <c r="E1325" s="17"/>
      <c r="F1325" s="17"/>
      <c r="G1325" s="17"/>
      <c r="H1325" s="17"/>
      <c r="I1325" s="17"/>
      <c r="J1325" s="17"/>
      <c r="K1325" s="17"/>
      <c r="L1325" s="17"/>
      <c r="M1325" s="17"/>
      <c r="N1325" s="17"/>
      <c r="O1325" s="17"/>
      <c r="P1325" s="17"/>
      <c r="Q1325" s="17"/>
      <c r="R1325" s="17"/>
      <c r="S1325" s="17"/>
      <c r="T1325" s="17"/>
      <c r="U1325" s="17"/>
      <c r="V1325" s="17"/>
      <c r="W1325" s="17"/>
      <c r="X1325" s="17"/>
      <c r="Y1325" s="17"/>
    </row>
    <row r="1326" spans="2:25" x14ac:dyDescent="0.35">
      <c r="B1326" t="s">
        <v>486</v>
      </c>
      <c r="C1326" s="17">
        <v>5.8674904463745001E-2</v>
      </c>
      <c r="D1326" s="17">
        <v>7.3412795213693302E-2</v>
      </c>
      <c r="E1326" s="17">
        <v>4.5035427747844699E-2</v>
      </c>
      <c r="F1326" s="17"/>
      <c r="G1326" s="17">
        <v>9.7250005719842006E-2</v>
      </c>
      <c r="H1326" s="17">
        <v>8.6124755721608298E-2</v>
      </c>
      <c r="I1326" s="17">
        <v>6.9593301744245495E-2</v>
      </c>
      <c r="J1326" s="17">
        <v>4.6530268876131001E-2</v>
      </c>
      <c r="K1326" s="17">
        <v>4.2430453790924402E-2</v>
      </c>
      <c r="L1326" s="17">
        <v>4.0057207933515901E-2</v>
      </c>
      <c r="M1326" s="17"/>
      <c r="N1326" s="17">
        <v>0.192740304031119</v>
      </c>
      <c r="O1326" s="17">
        <v>0.10563582101183799</v>
      </c>
      <c r="P1326" s="17">
        <v>4.4537203288912398E-2</v>
      </c>
      <c r="Q1326" s="17">
        <v>3.2655275421710303E-2</v>
      </c>
      <c r="R1326" s="17">
        <v>1.79128339634483E-2</v>
      </c>
      <c r="S1326" s="17">
        <v>8.5886335655186802E-2</v>
      </c>
      <c r="T1326" s="17">
        <v>3.2828100585064003E-2</v>
      </c>
      <c r="U1326" s="17">
        <v>5.8127906187283501E-2</v>
      </c>
      <c r="V1326" s="17">
        <v>0.16487478142582301</v>
      </c>
      <c r="W1326" s="17"/>
      <c r="X1326" s="17">
        <v>8.5595083712866601E-2</v>
      </c>
      <c r="Y1326" s="17">
        <v>4.3778178396036899E-2</v>
      </c>
    </row>
    <row r="1327" spans="2:25" x14ac:dyDescent="0.35">
      <c r="B1327" t="s">
        <v>487</v>
      </c>
      <c r="C1327" s="17">
        <v>0.19149971347618999</v>
      </c>
      <c r="D1327" s="17">
        <v>0.21323085586107299</v>
      </c>
      <c r="E1327" s="17">
        <v>0.17090408904309101</v>
      </c>
      <c r="F1327" s="17"/>
      <c r="G1327" s="17">
        <v>0.24510277043701501</v>
      </c>
      <c r="H1327" s="17">
        <v>0.21937317768641501</v>
      </c>
      <c r="I1327" s="17">
        <v>0.22771369564800301</v>
      </c>
      <c r="J1327" s="17">
        <v>0.195484046952933</v>
      </c>
      <c r="K1327" s="17">
        <v>0.16683708210921</v>
      </c>
      <c r="L1327" s="17">
        <v>0.14533201417778899</v>
      </c>
      <c r="M1327" s="17"/>
      <c r="N1327" s="17">
        <v>0.37151359785688098</v>
      </c>
      <c r="O1327" s="17">
        <v>0.47707228633613402</v>
      </c>
      <c r="P1327" s="17">
        <v>0.186706222119009</v>
      </c>
      <c r="Q1327" s="17">
        <v>0.114209556417447</v>
      </c>
      <c r="R1327" s="17">
        <v>0.13017716489452</v>
      </c>
      <c r="S1327" s="17">
        <v>0.233340889354852</v>
      </c>
      <c r="T1327" s="17">
        <v>0.116262553400691</v>
      </c>
      <c r="U1327" s="17">
        <v>0.20116234839925801</v>
      </c>
      <c r="V1327" s="17">
        <v>0.37167195640445699</v>
      </c>
      <c r="W1327" s="17"/>
      <c r="X1327" s="17">
        <v>0.22869408662906701</v>
      </c>
      <c r="Y1327" s="17">
        <v>0.17091759242153101</v>
      </c>
    </row>
    <row r="1328" spans="2:25" x14ac:dyDescent="0.35">
      <c r="B1328" t="s">
        <v>488</v>
      </c>
      <c r="C1328" s="17">
        <v>0.31043996351824499</v>
      </c>
      <c r="D1328" s="17">
        <v>0.30400170972127299</v>
      </c>
      <c r="E1328" s="17">
        <v>0.31655156111076799</v>
      </c>
      <c r="F1328" s="17"/>
      <c r="G1328" s="17">
        <v>0.26967601393221502</v>
      </c>
      <c r="H1328" s="17">
        <v>0.28900543480114299</v>
      </c>
      <c r="I1328" s="17">
        <v>0.29636220428770899</v>
      </c>
      <c r="J1328" s="17">
        <v>0.31759249791316602</v>
      </c>
      <c r="K1328" s="17">
        <v>0.33611086430214299</v>
      </c>
      <c r="L1328" s="17">
        <v>0.32554450804598101</v>
      </c>
      <c r="M1328" s="17"/>
      <c r="N1328" s="17">
        <v>0.26337756596929501</v>
      </c>
      <c r="O1328" s="17">
        <v>0.30477615048470402</v>
      </c>
      <c r="P1328" s="17">
        <v>0.39617360724727901</v>
      </c>
      <c r="Q1328" s="17">
        <v>0.22281476417759699</v>
      </c>
      <c r="R1328" s="17">
        <v>0.34548487778624298</v>
      </c>
      <c r="S1328" s="17">
        <v>0.34791980633967401</v>
      </c>
      <c r="T1328" s="17">
        <v>0.23706179746661099</v>
      </c>
      <c r="U1328" s="17">
        <v>0.34734726527863102</v>
      </c>
      <c r="V1328" s="17">
        <v>0.25218020053762602</v>
      </c>
      <c r="W1328" s="17"/>
      <c r="X1328" s="17">
        <v>0.2867608780482</v>
      </c>
      <c r="Y1328" s="17">
        <v>0.32354317678130701</v>
      </c>
    </row>
    <row r="1329" spans="2:25" x14ac:dyDescent="0.35">
      <c r="B1329" t="s">
        <v>489</v>
      </c>
      <c r="C1329" s="17">
        <v>0.211755282314917</v>
      </c>
      <c r="D1329" s="17">
        <v>0.20923851113990599</v>
      </c>
      <c r="E1329" s="17">
        <v>0.21473912152299399</v>
      </c>
      <c r="F1329" s="17"/>
      <c r="G1329" s="17">
        <v>0.21158880227416099</v>
      </c>
      <c r="H1329" s="17">
        <v>0.20414419711776399</v>
      </c>
      <c r="I1329" s="17">
        <v>0.191355834471023</v>
      </c>
      <c r="J1329" s="17">
        <v>0.203415145962589</v>
      </c>
      <c r="K1329" s="17">
        <v>0.22168231416707401</v>
      </c>
      <c r="L1329" s="17">
        <v>0.228573224950881</v>
      </c>
      <c r="M1329" s="17"/>
      <c r="N1329" s="17">
        <v>6.4167044513863306E-2</v>
      </c>
      <c r="O1329" s="17">
        <v>4.4905484441823497E-2</v>
      </c>
      <c r="P1329" s="17">
        <v>0.19368182117045901</v>
      </c>
      <c r="Q1329" s="17">
        <v>0.32051335577977302</v>
      </c>
      <c r="R1329" s="17">
        <v>0.27321876439786802</v>
      </c>
      <c r="S1329" s="17">
        <v>0.10894214045412901</v>
      </c>
      <c r="T1329" s="17">
        <v>0.28515549823762198</v>
      </c>
      <c r="U1329" s="17">
        <v>0.211423951108279</v>
      </c>
      <c r="V1329" s="17">
        <v>6.7640629590579204E-2</v>
      </c>
      <c r="W1329" s="17"/>
      <c r="X1329" s="17">
        <v>0.21033743770042801</v>
      </c>
      <c r="Y1329" s="17">
        <v>0.212539870063504</v>
      </c>
    </row>
    <row r="1330" spans="2:25" x14ac:dyDescent="0.35">
      <c r="B1330" t="s">
        <v>490</v>
      </c>
      <c r="C1330" s="17">
        <v>0.13196981914543399</v>
      </c>
      <c r="D1330" s="17">
        <v>0.14192893480506799</v>
      </c>
      <c r="E1330" s="17">
        <v>0.121711212938602</v>
      </c>
      <c r="F1330" s="17"/>
      <c r="G1330" s="17">
        <v>0.113183423282174</v>
      </c>
      <c r="H1330" s="17">
        <v>0.14055100717257499</v>
      </c>
      <c r="I1330" s="17">
        <v>0.127582427071252</v>
      </c>
      <c r="J1330" s="17">
        <v>0.129182312395167</v>
      </c>
      <c r="K1330" s="17">
        <v>0.12923589715383699</v>
      </c>
      <c r="L1330" s="17">
        <v>0.14039984529556301</v>
      </c>
      <c r="M1330" s="17"/>
      <c r="N1330" s="17">
        <v>1.4710726507123E-2</v>
      </c>
      <c r="O1330" s="17">
        <v>1.48085540019406E-2</v>
      </c>
      <c r="P1330" s="17">
        <v>6.2447794450708999E-2</v>
      </c>
      <c r="Q1330" s="17">
        <v>0.24738546667667399</v>
      </c>
      <c r="R1330" s="17">
        <v>0.16422600754661801</v>
      </c>
      <c r="S1330" s="17">
        <v>3.0810694790629999E-2</v>
      </c>
      <c r="T1330" s="17">
        <v>0.25102494591693503</v>
      </c>
      <c r="U1330" s="17">
        <v>0.130537101014843</v>
      </c>
      <c r="V1330" s="17">
        <v>1.6220982310516701E-2</v>
      </c>
      <c r="W1330" s="17"/>
      <c r="X1330" s="17">
        <v>0.12500532628918901</v>
      </c>
      <c r="Y1330" s="17">
        <v>0.135823736361954</v>
      </c>
    </row>
    <row r="1331" spans="2:25" x14ac:dyDescent="0.35">
      <c r="B1331" t="s">
        <v>80</v>
      </c>
      <c r="C1331" s="17">
        <v>9.5660317081469798E-2</v>
      </c>
      <c r="D1331" s="17">
        <v>5.8187193258986497E-2</v>
      </c>
      <c r="E1331" s="17">
        <v>0.1310585876367</v>
      </c>
      <c r="F1331" s="17"/>
      <c r="G1331" s="17">
        <v>6.3198984354593798E-2</v>
      </c>
      <c r="H1331" s="17">
        <v>6.0801427500494103E-2</v>
      </c>
      <c r="I1331" s="17">
        <v>8.7392536777767399E-2</v>
      </c>
      <c r="J1331" s="17">
        <v>0.107795727900013</v>
      </c>
      <c r="K1331" s="17">
        <v>0.103703388476811</v>
      </c>
      <c r="L1331" s="17">
        <v>0.12009319959627</v>
      </c>
      <c r="M1331" s="17"/>
      <c r="N1331" s="17">
        <v>9.3490761121719501E-2</v>
      </c>
      <c r="O1331" s="17">
        <v>5.2801703723559898E-2</v>
      </c>
      <c r="P1331" s="17">
        <v>0.116453351723631</v>
      </c>
      <c r="Q1331" s="17">
        <v>6.2421581526797797E-2</v>
      </c>
      <c r="R1331" s="17">
        <v>6.8980351411301696E-2</v>
      </c>
      <c r="S1331" s="17">
        <v>0.19310013340552801</v>
      </c>
      <c r="T1331" s="17">
        <v>7.7667104393076697E-2</v>
      </c>
      <c r="U1331" s="17">
        <v>5.1401428011704602E-2</v>
      </c>
      <c r="V1331" s="17">
        <v>0.12741144973099799</v>
      </c>
      <c r="W1331" s="17"/>
      <c r="X1331" s="17">
        <v>6.3607187620249805E-2</v>
      </c>
      <c r="Y1331" s="17">
        <v>0.11339744597566701</v>
      </c>
    </row>
    <row r="1332" spans="2:25" x14ac:dyDescent="0.35">
      <c r="B1332" t="s">
        <v>491</v>
      </c>
      <c r="C1332" s="17">
        <v>0.25017461793993501</v>
      </c>
      <c r="D1332" s="17">
        <v>0.28664365107476603</v>
      </c>
      <c r="E1332" s="17">
        <v>0.21593951679093601</v>
      </c>
      <c r="F1332" s="17"/>
      <c r="G1332" s="17">
        <v>0.342352776156857</v>
      </c>
      <c r="H1332" s="17">
        <v>0.305497933408024</v>
      </c>
      <c r="I1332" s="17">
        <v>0.29730699739224797</v>
      </c>
      <c r="J1332" s="17">
        <v>0.24201431582906399</v>
      </c>
      <c r="K1332" s="17">
        <v>0.209267535900134</v>
      </c>
      <c r="L1332" s="17">
        <v>0.18538922211130501</v>
      </c>
      <c r="M1332" s="17"/>
      <c r="N1332" s="17">
        <v>0.56425390188799995</v>
      </c>
      <c r="O1332" s="17">
        <v>0.58270810734797196</v>
      </c>
      <c r="P1332" s="17">
        <v>0.231243425407921</v>
      </c>
      <c r="Q1332" s="17">
        <v>0.146864831839157</v>
      </c>
      <c r="R1332" s="17">
        <v>0.148089998857969</v>
      </c>
      <c r="S1332" s="17">
        <v>0.31922722501003897</v>
      </c>
      <c r="T1332" s="17">
        <v>0.149090653985755</v>
      </c>
      <c r="U1332" s="17">
        <v>0.25929025458654198</v>
      </c>
      <c r="V1332" s="17">
        <v>0.53654673783027995</v>
      </c>
      <c r="W1332" s="17"/>
      <c r="X1332" s="17">
        <v>0.31428917034193399</v>
      </c>
      <c r="Y1332" s="17">
        <v>0.21469577081756799</v>
      </c>
    </row>
    <row r="1333" spans="2:25" x14ac:dyDescent="0.35">
      <c r="B1333" t="s">
        <v>492</v>
      </c>
      <c r="C1333" s="17">
        <v>0.34372510146035101</v>
      </c>
      <c r="D1333" s="17">
        <v>0.35116744594497401</v>
      </c>
      <c r="E1333" s="17">
        <v>0.336450334461596</v>
      </c>
      <c r="F1333" s="17"/>
      <c r="G1333" s="17">
        <v>0.324772225556335</v>
      </c>
      <c r="H1333" s="17">
        <v>0.34469520429033901</v>
      </c>
      <c r="I1333" s="17">
        <v>0.318938261542275</v>
      </c>
      <c r="J1333" s="17">
        <v>0.332597458357757</v>
      </c>
      <c r="K1333" s="17">
        <v>0.350918211320911</v>
      </c>
      <c r="L1333" s="17">
        <v>0.36897307024644399</v>
      </c>
      <c r="M1333" s="17"/>
      <c r="N1333" s="17">
        <v>7.8877771020986295E-2</v>
      </c>
      <c r="O1333" s="17">
        <v>5.9714038443764099E-2</v>
      </c>
      <c r="P1333" s="17">
        <v>0.25612961562116798</v>
      </c>
      <c r="Q1333" s="17">
        <v>0.56789882245644696</v>
      </c>
      <c r="R1333" s="17">
        <v>0.437444771944486</v>
      </c>
      <c r="S1333" s="17">
        <v>0.13975283524475901</v>
      </c>
      <c r="T1333" s="17">
        <v>0.53618044415455701</v>
      </c>
      <c r="U1333" s="17">
        <v>0.341961052123122</v>
      </c>
      <c r="V1333" s="17">
        <v>8.3861611901095895E-2</v>
      </c>
      <c r="W1333" s="17"/>
      <c r="X1333" s="17">
        <v>0.33534276398961599</v>
      </c>
      <c r="Y1333" s="17">
        <v>0.34836360642545799</v>
      </c>
    </row>
    <row r="1334" spans="2:25" x14ac:dyDescent="0.35">
      <c r="B1334" t="s">
        <v>92</v>
      </c>
      <c r="C1334" s="17">
        <v>-9.3550483520416394E-2</v>
      </c>
      <c r="D1334" s="17">
        <v>-6.4523794870208401E-2</v>
      </c>
      <c r="E1334" s="17">
        <v>-0.12051081767066101</v>
      </c>
      <c r="F1334" s="17"/>
      <c r="G1334" s="17">
        <v>1.7580550600522001E-2</v>
      </c>
      <c r="H1334" s="17">
        <v>-3.9197270882315498E-2</v>
      </c>
      <c r="I1334" s="17">
        <v>-2.1631264150026901E-2</v>
      </c>
      <c r="J1334" s="17">
        <v>-9.0583142528692706E-2</v>
      </c>
      <c r="K1334" s="17">
        <v>-0.141650675420777</v>
      </c>
      <c r="L1334" s="17">
        <v>-0.18358384813514</v>
      </c>
      <c r="M1334" s="17"/>
      <c r="N1334" s="17">
        <v>0.48537613086701298</v>
      </c>
      <c r="O1334" s="17">
        <v>0.52299406890420796</v>
      </c>
      <c r="P1334" s="17">
        <v>-2.4886190213247599E-2</v>
      </c>
      <c r="Q1334" s="17">
        <v>-0.42103399061729002</v>
      </c>
      <c r="R1334" s="17">
        <v>-0.28935477308651802</v>
      </c>
      <c r="S1334" s="17">
        <v>0.17947438976527999</v>
      </c>
      <c r="T1334" s="17">
        <v>-0.38708979016880202</v>
      </c>
      <c r="U1334" s="17">
        <v>-8.2670797536580104E-2</v>
      </c>
      <c r="V1334" s="17">
        <v>0.45268512592918397</v>
      </c>
      <c r="W1334" s="17"/>
      <c r="X1334" s="17">
        <v>-2.1053593647682601E-2</v>
      </c>
      <c r="Y1334" s="17">
        <v>-0.13366783560789</v>
      </c>
    </row>
    <row r="1335" spans="2:25" x14ac:dyDescent="0.35">
      <c r="C1335" s="17"/>
      <c r="D1335" s="17"/>
      <c r="E1335" s="17"/>
      <c r="F1335" s="17"/>
      <c r="G1335" s="17"/>
      <c r="H1335" s="17"/>
      <c r="I1335" s="17"/>
      <c r="J1335" s="17"/>
      <c r="K1335" s="17"/>
      <c r="L1335" s="17"/>
      <c r="M1335" s="17"/>
      <c r="N1335" s="17"/>
      <c r="O1335" s="17"/>
      <c r="P1335" s="17"/>
      <c r="Q1335" s="17"/>
      <c r="R1335" s="17"/>
      <c r="S1335" s="17"/>
      <c r="T1335" s="17"/>
      <c r="U1335" s="17"/>
      <c r="V1335" s="17"/>
      <c r="W1335" s="17"/>
      <c r="X1335" s="17"/>
      <c r="Y1335" s="17"/>
    </row>
    <row r="1336" spans="2:25" x14ac:dyDescent="0.35">
      <c r="B1336" s="6" t="s">
        <v>499</v>
      </c>
      <c r="C1336" s="17"/>
      <c r="D1336" s="17"/>
      <c r="E1336" s="17"/>
      <c r="F1336" s="17"/>
      <c r="G1336" s="17"/>
      <c r="H1336" s="17"/>
      <c r="I1336" s="17"/>
      <c r="J1336" s="17"/>
      <c r="K1336" s="17"/>
      <c r="L1336" s="17"/>
      <c r="M1336" s="17"/>
      <c r="N1336" s="17"/>
      <c r="O1336" s="17"/>
      <c r="P1336" s="17"/>
      <c r="Q1336" s="17"/>
      <c r="R1336" s="17"/>
      <c r="S1336" s="17"/>
      <c r="T1336" s="17"/>
      <c r="U1336" s="17"/>
      <c r="V1336" s="17"/>
      <c r="W1336" s="17"/>
      <c r="X1336" s="17"/>
      <c r="Y1336" s="17"/>
    </row>
    <row r="1337" spans="2:25" x14ac:dyDescent="0.35">
      <c r="B1337" s="24" t="s">
        <v>50</v>
      </c>
      <c r="C1337" s="17"/>
      <c r="D1337" s="17"/>
      <c r="E1337" s="17"/>
      <c r="F1337" s="17"/>
      <c r="G1337" s="17"/>
      <c r="H1337" s="17"/>
      <c r="I1337" s="17"/>
      <c r="J1337" s="17"/>
      <c r="K1337" s="17"/>
      <c r="L1337" s="17"/>
      <c r="M1337" s="17"/>
      <c r="N1337" s="17"/>
      <c r="O1337" s="17"/>
      <c r="P1337" s="17"/>
      <c r="Q1337" s="17"/>
      <c r="R1337" s="17"/>
      <c r="S1337" s="17"/>
      <c r="T1337" s="17"/>
      <c r="U1337" s="17"/>
      <c r="V1337" s="17"/>
      <c r="W1337" s="17"/>
      <c r="X1337" s="17"/>
      <c r="Y1337" s="17"/>
    </row>
    <row r="1338" spans="2:25" x14ac:dyDescent="0.35">
      <c r="B1338" t="s">
        <v>85</v>
      </c>
      <c r="C1338" s="17">
        <v>6.7395809814047594E-2</v>
      </c>
      <c r="D1338" s="17">
        <v>8.2952073609056903E-2</v>
      </c>
      <c r="E1338" s="17">
        <v>5.2744903449771403E-2</v>
      </c>
      <c r="F1338" s="17"/>
      <c r="G1338" s="17">
        <v>0.11769259009300501</v>
      </c>
      <c r="H1338" s="17">
        <v>0.11337814296073399</v>
      </c>
      <c r="I1338" s="17">
        <v>7.6080786224329205E-2</v>
      </c>
      <c r="J1338" s="17">
        <v>5.55293649752426E-2</v>
      </c>
      <c r="K1338" s="17">
        <v>5.06403075868238E-2</v>
      </c>
      <c r="L1338" s="17">
        <v>3.5023893922894303E-2</v>
      </c>
      <c r="M1338" s="17"/>
      <c r="N1338" s="17">
        <v>0.14636913948186001</v>
      </c>
      <c r="O1338" s="17">
        <v>0.15008841427745101</v>
      </c>
      <c r="P1338" s="17">
        <v>5.3843266980374997E-2</v>
      </c>
      <c r="Q1338" s="17">
        <v>6.5400895486783406E-2</v>
      </c>
      <c r="R1338" s="17">
        <v>4.9895105982617503E-2</v>
      </c>
      <c r="S1338" s="17">
        <v>7.86685271174727E-2</v>
      </c>
      <c r="T1338" s="17">
        <v>4.0956579014010501E-2</v>
      </c>
      <c r="U1338" s="17">
        <v>7.5117407517321003E-2</v>
      </c>
      <c r="V1338" s="17">
        <v>8.6314721221874502E-2</v>
      </c>
      <c r="W1338" s="17"/>
      <c r="X1338" s="17">
        <v>8.6630877216736304E-2</v>
      </c>
      <c r="Y1338" s="17">
        <v>5.67517673899577E-2</v>
      </c>
    </row>
    <row r="1339" spans="2:25" x14ac:dyDescent="0.35">
      <c r="B1339" t="s">
        <v>86</v>
      </c>
      <c r="C1339" s="17">
        <v>0.34577292299383999</v>
      </c>
      <c r="D1339" s="17">
        <v>0.38482387883949398</v>
      </c>
      <c r="E1339" s="17">
        <v>0.30987585839340198</v>
      </c>
      <c r="F1339" s="17"/>
      <c r="G1339" s="17">
        <v>0.375879806602329</v>
      </c>
      <c r="H1339" s="17">
        <v>0.38136115165651002</v>
      </c>
      <c r="I1339" s="17">
        <v>0.41070890673806199</v>
      </c>
      <c r="J1339" s="17">
        <v>0.34610310840811698</v>
      </c>
      <c r="K1339" s="17">
        <v>0.32289119154295998</v>
      </c>
      <c r="L1339" s="17">
        <v>0.28668325302430497</v>
      </c>
      <c r="M1339" s="17"/>
      <c r="N1339" s="17">
        <v>0.446968323462619</v>
      </c>
      <c r="O1339" s="17">
        <v>0.58597895526229404</v>
      </c>
      <c r="P1339" s="17">
        <v>0.23972617042043901</v>
      </c>
      <c r="Q1339" s="17">
        <v>0.37599909975879098</v>
      </c>
      <c r="R1339" s="17">
        <v>0.40001204799823198</v>
      </c>
      <c r="S1339" s="17">
        <v>0.36835781291414499</v>
      </c>
      <c r="T1339" s="17">
        <v>0.23022439858638699</v>
      </c>
      <c r="U1339" s="17">
        <v>0.37140485213984997</v>
      </c>
      <c r="V1339" s="17">
        <v>0.39564156917168503</v>
      </c>
      <c r="W1339" s="17"/>
      <c r="X1339" s="17">
        <v>0.382916903313052</v>
      </c>
      <c r="Y1339" s="17">
        <v>0.32521868764647699</v>
      </c>
    </row>
    <row r="1340" spans="2:25" x14ac:dyDescent="0.35">
      <c r="B1340" t="s">
        <v>181</v>
      </c>
      <c r="C1340" s="17">
        <v>0.311703507886886</v>
      </c>
      <c r="D1340" s="17">
        <v>0.29432902346200202</v>
      </c>
      <c r="E1340" s="17">
        <v>0.32780951830641403</v>
      </c>
      <c r="F1340" s="17"/>
      <c r="G1340" s="17">
        <v>0.25992210643788599</v>
      </c>
      <c r="H1340" s="17">
        <v>0.29753747513474899</v>
      </c>
      <c r="I1340" s="17">
        <v>0.31268214218486301</v>
      </c>
      <c r="J1340" s="17">
        <v>0.32143136396254401</v>
      </c>
      <c r="K1340" s="17">
        <v>0.32564063645615399</v>
      </c>
      <c r="L1340" s="17">
        <v>0.32291090957075103</v>
      </c>
      <c r="M1340" s="17"/>
      <c r="N1340" s="17">
        <v>0.17614320867266001</v>
      </c>
      <c r="O1340" s="17">
        <v>0.172171773788757</v>
      </c>
      <c r="P1340" s="17">
        <v>0.33237416501211797</v>
      </c>
      <c r="Q1340" s="17">
        <v>0.31822135763677001</v>
      </c>
      <c r="R1340" s="17">
        <v>0.32602966890526902</v>
      </c>
      <c r="S1340" s="17">
        <v>0.29070397123835301</v>
      </c>
      <c r="T1340" s="17">
        <v>0.47245774051085998</v>
      </c>
      <c r="U1340" s="17">
        <v>0.21060296090682401</v>
      </c>
      <c r="V1340" s="17">
        <v>0.25171487050909103</v>
      </c>
      <c r="W1340" s="17"/>
      <c r="X1340" s="17">
        <v>0.28852427277723303</v>
      </c>
      <c r="Y1340" s="17">
        <v>0.324530120692548</v>
      </c>
    </row>
    <row r="1341" spans="2:25" x14ac:dyDescent="0.35">
      <c r="B1341" t="s">
        <v>88</v>
      </c>
      <c r="C1341" s="17">
        <v>0.178214700757233</v>
      </c>
      <c r="D1341" s="17">
        <v>0.152244344666876</v>
      </c>
      <c r="E1341" s="17">
        <v>0.20221364412550599</v>
      </c>
      <c r="F1341" s="17"/>
      <c r="G1341" s="17">
        <v>0.18349115383376599</v>
      </c>
      <c r="H1341" s="17">
        <v>0.13088329689851799</v>
      </c>
      <c r="I1341" s="17">
        <v>0.13412884500245101</v>
      </c>
      <c r="J1341" s="17">
        <v>0.16621066162906201</v>
      </c>
      <c r="K1341" s="17">
        <v>0.18673857441342601</v>
      </c>
      <c r="L1341" s="17">
        <v>0.23514192697070299</v>
      </c>
      <c r="M1341" s="17"/>
      <c r="N1341" s="17">
        <v>0.172562569624477</v>
      </c>
      <c r="O1341" s="17">
        <v>5.5573285731435003E-2</v>
      </c>
      <c r="P1341" s="17">
        <v>0.232142358718162</v>
      </c>
      <c r="Q1341" s="17">
        <v>0.15112457448876601</v>
      </c>
      <c r="R1341" s="17">
        <v>0.157842461233269</v>
      </c>
      <c r="S1341" s="17">
        <v>0.170598146965422</v>
      </c>
      <c r="T1341" s="17">
        <v>0.153369506867614</v>
      </c>
      <c r="U1341" s="17">
        <v>0.23141119118091699</v>
      </c>
      <c r="V1341" s="17">
        <v>0.17401697252345599</v>
      </c>
      <c r="W1341" s="17"/>
      <c r="X1341" s="17">
        <v>0.164437290861951</v>
      </c>
      <c r="Y1341" s="17">
        <v>0.18583865820689399</v>
      </c>
    </row>
    <row r="1342" spans="2:25" x14ac:dyDescent="0.35">
      <c r="B1342" t="s">
        <v>89</v>
      </c>
      <c r="C1342" s="17">
        <v>7.2509757955220702E-2</v>
      </c>
      <c r="D1342" s="17">
        <v>6.7022887154462599E-2</v>
      </c>
      <c r="E1342" s="17">
        <v>7.7418060532644897E-2</v>
      </c>
      <c r="F1342" s="17"/>
      <c r="G1342" s="17">
        <v>4.6941703596347098E-2</v>
      </c>
      <c r="H1342" s="17">
        <v>6.14632074558542E-2</v>
      </c>
      <c r="I1342" s="17">
        <v>4.8063108833398198E-2</v>
      </c>
      <c r="J1342" s="17">
        <v>7.55916553668214E-2</v>
      </c>
      <c r="K1342" s="17">
        <v>8.5522534620410595E-2</v>
      </c>
      <c r="L1342" s="17">
        <v>9.3574313463150399E-2</v>
      </c>
      <c r="M1342" s="17"/>
      <c r="N1342" s="17">
        <v>4.1298921980127599E-2</v>
      </c>
      <c r="O1342" s="17">
        <v>1.17831344608865E-2</v>
      </c>
      <c r="P1342" s="17">
        <v>0.118761900483341</v>
      </c>
      <c r="Q1342" s="17">
        <v>5.7018784762405503E-2</v>
      </c>
      <c r="R1342" s="17">
        <v>4.5751809300105403E-2</v>
      </c>
      <c r="S1342" s="17">
        <v>6.6463729827335102E-2</v>
      </c>
      <c r="T1342" s="17">
        <v>7.2315022654608499E-2</v>
      </c>
      <c r="U1342" s="17">
        <v>9.3962792657754202E-2</v>
      </c>
      <c r="V1342" s="17">
        <v>7.0839356658129501E-2</v>
      </c>
      <c r="W1342" s="17"/>
      <c r="X1342" s="17">
        <v>6.0542045072025499E-2</v>
      </c>
      <c r="Y1342" s="17">
        <v>7.91322896563703E-2</v>
      </c>
    </row>
    <row r="1343" spans="2:25" x14ac:dyDescent="0.35">
      <c r="B1343" t="s">
        <v>80</v>
      </c>
      <c r="C1343" s="17">
        <v>2.4403300592772102E-2</v>
      </c>
      <c r="D1343" s="17">
        <v>1.8627792268108002E-2</v>
      </c>
      <c r="E1343" s="17">
        <v>2.99380151922621E-2</v>
      </c>
      <c r="F1343" s="17"/>
      <c r="G1343" s="17">
        <v>1.6072639436666501E-2</v>
      </c>
      <c r="H1343" s="17">
        <v>1.53767258936338E-2</v>
      </c>
      <c r="I1343" s="17">
        <v>1.8336211016895899E-2</v>
      </c>
      <c r="J1343" s="17">
        <v>3.5133845658212502E-2</v>
      </c>
      <c r="K1343" s="17">
        <v>2.8566755380225701E-2</v>
      </c>
      <c r="L1343" s="17">
        <v>2.66657030481968E-2</v>
      </c>
      <c r="M1343" s="17"/>
      <c r="N1343" s="17">
        <v>1.6657836778256399E-2</v>
      </c>
      <c r="O1343" s="17">
        <v>2.4404436479176599E-2</v>
      </c>
      <c r="P1343" s="17">
        <v>2.3152138385565998E-2</v>
      </c>
      <c r="Q1343" s="17">
        <v>3.2235287866484101E-2</v>
      </c>
      <c r="R1343" s="17">
        <v>2.04689065805061E-2</v>
      </c>
      <c r="S1343" s="17">
        <v>2.5207811937271798E-2</v>
      </c>
      <c r="T1343" s="17">
        <v>3.067675236652E-2</v>
      </c>
      <c r="U1343" s="17">
        <v>1.75007955973333E-2</v>
      </c>
      <c r="V1343" s="17">
        <v>2.1472509915764399E-2</v>
      </c>
      <c r="W1343" s="17"/>
      <c r="X1343" s="17">
        <v>1.69486107590015E-2</v>
      </c>
      <c r="Y1343" s="17">
        <v>2.8528476407752398E-2</v>
      </c>
    </row>
    <row r="1344" spans="2:25" x14ac:dyDescent="0.35">
      <c r="B1344" t="s">
        <v>90</v>
      </c>
      <c r="C1344" s="17">
        <v>0.41316873280788702</v>
      </c>
      <c r="D1344" s="17">
        <v>0.46777595244855102</v>
      </c>
      <c r="E1344" s="17">
        <v>0.36262076184317299</v>
      </c>
      <c r="F1344" s="17"/>
      <c r="G1344" s="17">
        <v>0.49357239669533398</v>
      </c>
      <c r="H1344" s="17">
        <v>0.49473929461724397</v>
      </c>
      <c r="I1344" s="17">
        <v>0.486789692962392</v>
      </c>
      <c r="J1344" s="17">
        <v>0.40163247338336</v>
      </c>
      <c r="K1344" s="17">
        <v>0.37353149912978401</v>
      </c>
      <c r="L1344" s="17">
        <v>0.32170714694719899</v>
      </c>
      <c r="M1344" s="17"/>
      <c r="N1344" s="17">
        <v>0.59333746294447898</v>
      </c>
      <c r="O1344" s="17">
        <v>0.73606736953974505</v>
      </c>
      <c r="P1344" s="17">
        <v>0.29356943740081398</v>
      </c>
      <c r="Q1344" s="17">
        <v>0.441399995245574</v>
      </c>
      <c r="R1344" s="17">
        <v>0.44990715398085002</v>
      </c>
      <c r="S1344" s="17">
        <v>0.44702634003161801</v>
      </c>
      <c r="T1344" s="17">
        <v>0.271180977600398</v>
      </c>
      <c r="U1344" s="17">
        <v>0.44652225965717102</v>
      </c>
      <c r="V1344" s="17">
        <v>0.48195629039356003</v>
      </c>
      <c r="W1344" s="17"/>
      <c r="X1344" s="17">
        <v>0.46954778052978902</v>
      </c>
      <c r="Y1344" s="17">
        <v>0.38197045503643401</v>
      </c>
    </row>
    <row r="1345" spans="2:25" x14ac:dyDescent="0.35">
      <c r="B1345" t="s">
        <v>91</v>
      </c>
      <c r="C1345" s="17">
        <v>0.25072445871245402</v>
      </c>
      <c r="D1345" s="17">
        <v>0.219267231821339</v>
      </c>
      <c r="E1345" s="17">
        <v>0.27963170465815101</v>
      </c>
      <c r="F1345" s="17"/>
      <c r="G1345" s="17">
        <v>0.23043285743011299</v>
      </c>
      <c r="H1345" s="17">
        <v>0.19234650435437201</v>
      </c>
      <c r="I1345" s="17">
        <v>0.18219195383584899</v>
      </c>
      <c r="J1345" s="17">
        <v>0.241802316995884</v>
      </c>
      <c r="K1345" s="17">
        <v>0.27226110903383599</v>
      </c>
      <c r="L1345" s="17">
        <v>0.328716240433853</v>
      </c>
      <c r="M1345" s="17"/>
      <c r="N1345" s="17">
        <v>0.21386149160460499</v>
      </c>
      <c r="O1345" s="17">
        <v>6.7356420192321395E-2</v>
      </c>
      <c r="P1345" s="17">
        <v>0.35090425920150298</v>
      </c>
      <c r="Q1345" s="17">
        <v>0.208143359251171</v>
      </c>
      <c r="R1345" s="17">
        <v>0.203594270533375</v>
      </c>
      <c r="S1345" s="17">
        <v>0.237061876792757</v>
      </c>
      <c r="T1345" s="17">
        <v>0.22568452952222301</v>
      </c>
      <c r="U1345" s="17">
        <v>0.325373983838671</v>
      </c>
      <c r="V1345" s="17">
        <v>0.24485632918158501</v>
      </c>
      <c r="W1345" s="17"/>
      <c r="X1345" s="17">
        <v>0.22497933593397601</v>
      </c>
      <c r="Y1345" s="17">
        <v>0.26497094786326503</v>
      </c>
    </row>
    <row r="1346" spans="2:25" x14ac:dyDescent="0.35">
      <c r="B1346" t="s">
        <v>92</v>
      </c>
      <c r="C1346" s="17">
        <v>0.16244427409543299</v>
      </c>
      <c r="D1346" s="17">
        <v>0.24850872062721199</v>
      </c>
      <c r="E1346" s="17">
        <v>8.2989057185022405E-2</v>
      </c>
      <c r="F1346" s="17"/>
      <c r="G1346" s="17">
        <v>0.26313953926522099</v>
      </c>
      <c r="H1346" s="17">
        <v>0.30239279026287202</v>
      </c>
      <c r="I1346" s="17">
        <v>0.30459773912654198</v>
      </c>
      <c r="J1346" s="17">
        <v>0.159830156387476</v>
      </c>
      <c r="K1346" s="17">
        <v>0.101270390095948</v>
      </c>
      <c r="L1346" s="17">
        <v>-7.0090934866541303E-3</v>
      </c>
      <c r="M1346" s="17"/>
      <c r="N1346" s="17">
        <v>0.37947597133987399</v>
      </c>
      <c r="O1346" s="17">
        <v>0.66871094934742303</v>
      </c>
      <c r="P1346" s="17">
        <v>-5.7334821800688898E-2</v>
      </c>
      <c r="Q1346" s="17">
        <v>0.23325663599440299</v>
      </c>
      <c r="R1346" s="17">
        <v>0.24631288344747501</v>
      </c>
      <c r="S1346" s="17">
        <v>0.209964463238861</v>
      </c>
      <c r="T1346" s="17">
        <v>4.5496448078175003E-2</v>
      </c>
      <c r="U1346" s="17">
        <v>0.1211482758185</v>
      </c>
      <c r="V1346" s="17">
        <v>0.23709996121197499</v>
      </c>
      <c r="W1346" s="17"/>
      <c r="X1346" s="17">
        <v>0.24456844459581201</v>
      </c>
      <c r="Y1346" s="17">
        <v>0.11699950717316999</v>
      </c>
    </row>
    <row r="1347" spans="2:25" x14ac:dyDescent="0.35">
      <c r="C1347" s="17"/>
      <c r="D1347" s="17"/>
      <c r="E1347" s="17"/>
      <c r="F1347" s="17"/>
      <c r="G1347" s="17"/>
      <c r="H1347" s="17"/>
      <c r="I1347" s="17"/>
      <c r="J1347" s="17"/>
      <c r="K1347" s="17"/>
      <c r="L1347" s="17"/>
      <c r="M1347" s="17"/>
      <c r="N1347" s="17"/>
      <c r="O1347" s="17"/>
      <c r="P1347" s="17"/>
      <c r="Q1347" s="17"/>
      <c r="R1347" s="17"/>
      <c r="S1347" s="17"/>
      <c r="T1347" s="17"/>
      <c r="U1347" s="17"/>
      <c r="V1347" s="17"/>
      <c r="W1347" s="17"/>
      <c r="X1347" s="17"/>
      <c r="Y1347" s="17"/>
    </row>
    <row r="1348" spans="2:25" x14ac:dyDescent="0.35">
      <c r="B1348" s="6" t="s">
        <v>510</v>
      </c>
      <c r="C1348" s="17"/>
      <c r="D1348" s="17"/>
      <c r="E1348" s="17"/>
      <c r="F1348" s="17"/>
      <c r="G1348" s="17"/>
      <c r="H1348" s="17"/>
      <c r="I1348" s="17"/>
      <c r="J1348" s="17"/>
      <c r="K1348" s="17"/>
      <c r="L1348" s="17"/>
      <c r="M1348" s="17"/>
      <c r="N1348" s="17"/>
      <c r="O1348" s="17"/>
      <c r="P1348" s="17"/>
      <c r="Q1348" s="17"/>
      <c r="R1348" s="17"/>
      <c r="S1348" s="17"/>
      <c r="T1348" s="17"/>
      <c r="U1348" s="17"/>
      <c r="V1348" s="17"/>
      <c r="W1348" s="17"/>
      <c r="X1348" s="17"/>
      <c r="Y1348" s="17"/>
    </row>
    <row r="1349" spans="2:25" x14ac:dyDescent="0.35">
      <c r="B1349" s="24" t="s">
        <v>50</v>
      </c>
      <c r="C1349" s="17"/>
      <c r="D1349" s="17"/>
      <c r="E1349" s="17"/>
      <c r="F1349" s="17"/>
      <c r="G1349" s="17"/>
      <c r="H1349" s="17"/>
      <c r="I1349" s="17"/>
      <c r="J1349" s="17"/>
      <c r="K1349" s="17"/>
      <c r="L1349" s="17"/>
      <c r="M1349" s="17"/>
      <c r="N1349" s="17"/>
      <c r="O1349" s="17"/>
      <c r="P1349" s="17"/>
      <c r="Q1349" s="17"/>
      <c r="R1349" s="17"/>
      <c r="S1349" s="17"/>
      <c r="T1349" s="17"/>
      <c r="U1349" s="17"/>
      <c r="V1349" s="17"/>
      <c r="W1349" s="17"/>
      <c r="X1349" s="17"/>
      <c r="Y1349" s="17"/>
    </row>
    <row r="1350" spans="2:25" x14ac:dyDescent="0.35">
      <c r="B1350" t="s">
        <v>504</v>
      </c>
      <c r="C1350" s="17">
        <v>9.6733326451401702E-2</v>
      </c>
      <c r="D1350" s="17">
        <v>0.11844689037129701</v>
      </c>
      <c r="E1350" s="17">
        <v>7.6679234247499603E-2</v>
      </c>
      <c r="F1350" s="17"/>
      <c r="G1350" s="17">
        <v>0.14552537087409301</v>
      </c>
      <c r="H1350" s="17">
        <v>0.113661350410344</v>
      </c>
      <c r="I1350" s="17">
        <v>0.122003568445014</v>
      </c>
      <c r="J1350" s="17">
        <v>7.9999270534226397E-2</v>
      </c>
      <c r="K1350" s="17">
        <v>8.6631674336942299E-2</v>
      </c>
      <c r="L1350" s="17">
        <v>7.0429028699201396E-2</v>
      </c>
      <c r="M1350" s="17"/>
      <c r="N1350" s="17">
        <v>0.19000308063538701</v>
      </c>
      <c r="O1350" s="17">
        <v>0.23108765871893799</v>
      </c>
      <c r="P1350" s="17">
        <v>0.128008985742256</v>
      </c>
      <c r="Q1350" s="17">
        <v>8.3548730810828406E-2</v>
      </c>
      <c r="R1350" s="17">
        <v>7.7106022878281694E-2</v>
      </c>
      <c r="S1350" s="17">
        <v>9.6639986094119501E-2</v>
      </c>
      <c r="T1350" s="17">
        <v>4.0930826006823198E-2</v>
      </c>
      <c r="U1350" s="17">
        <v>8.86500818905996E-2</v>
      </c>
      <c r="V1350" s="17">
        <v>0.14525743907899</v>
      </c>
      <c r="W1350" s="17"/>
      <c r="X1350" s="17">
        <v>0.13050221500400599</v>
      </c>
      <c r="Y1350" s="17">
        <v>7.8046753909522495E-2</v>
      </c>
    </row>
    <row r="1351" spans="2:25" x14ac:dyDescent="0.35">
      <c r="B1351" t="s">
        <v>505</v>
      </c>
      <c r="C1351" s="17">
        <v>0.27665975726973002</v>
      </c>
      <c r="D1351" s="17">
        <v>0.301349778311435</v>
      </c>
      <c r="E1351" s="17">
        <v>0.25338160365518803</v>
      </c>
      <c r="F1351" s="17"/>
      <c r="G1351" s="17">
        <v>0.31426516746664801</v>
      </c>
      <c r="H1351" s="17">
        <v>0.285811896143641</v>
      </c>
      <c r="I1351" s="17">
        <v>0.28804037057494503</v>
      </c>
      <c r="J1351" s="17">
        <v>0.29726953464903599</v>
      </c>
      <c r="K1351" s="17">
        <v>0.25349838321938001</v>
      </c>
      <c r="L1351" s="17">
        <v>0.25110856856302799</v>
      </c>
      <c r="M1351" s="17"/>
      <c r="N1351" s="17">
        <v>0.41810534188916598</v>
      </c>
      <c r="O1351" s="17">
        <v>0.44174178418891402</v>
      </c>
      <c r="P1351" s="17">
        <v>0.27896287856715302</v>
      </c>
      <c r="Q1351" s="17">
        <v>0.24490458454654301</v>
      </c>
      <c r="R1351" s="17">
        <v>0.32884546108256502</v>
      </c>
      <c r="S1351" s="17">
        <v>0.27736836814767502</v>
      </c>
      <c r="T1351" s="17">
        <v>0.17980887111657901</v>
      </c>
      <c r="U1351" s="17">
        <v>0.28423476818663101</v>
      </c>
      <c r="V1351" s="17">
        <v>0.28581285481033403</v>
      </c>
      <c r="W1351" s="17"/>
      <c r="X1351" s="17">
        <v>0.32229484959099802</v>
      </c>
      <c r="Y1351" s="17">
        <v>0.251406824772757</v>
      </c>
    </row>
    <row r="1352" spans="2:25" x14ac:dyDescent="0.35">
      <c r="B1352" t="s">
        <v>506</v>
      </c>
      <c r="C1352" s="17">
        <v>0.24638778326254401</v>
      </c>
      <c r="D1352" s="17">
        <v>0.24154110186814001</v>
      </c>
      <c r="E1352" s="17">
        <v>0.25106807967622702</v>
      </c>
      <c r="F1352" s="17"/>
      <c r="G1352" s="17">
        <v>0.24156541231789899</v>
      </c>
      <c r="H1352" s="17">
        <v>0.27568843699998402</v>
      </c>
      <c r="I1352" s="17">
        <v>0.25959818537697998</v>
      </c>
      <c r="J1352" s="17">
        <v>0.23391190736522099</v>
      </c>
      <c r="K1352" s="17">
        <v>0.23237536137008499</v>
      </c>
      <c r="L1352" s="17">
        <v>0.24011164233395699</v>
      </c>
      <c r="M1352" s="17"/>
      <c r="N1352" s="17">
        <v>0.153916328538235</v>
      </c>
      <c r="O1352" s="17">
        <v>0.225054132043146</v>
      </c>
      <c r="P1352" s="17">
        <v>0.196677579891406</v>
      </c>
      <c r="Q1352" s="17">
        <v>0.27019977414198798</v>
      </c>
      <c r="R1352" s="17">
        <v>0.217143780572609</v>
      </c>
      <c r="S1352" s="17">
        <v>0.27322376380549601</v>
      </c>
      <c r="T1352" s="17">
        <v>0.31580500357036001</v>
      </c>
      <c r="U1352" s="17">
        <v>0.22174113972062801</v>
      </c>
      <c r="V1352" s="17">
        <v>0.26329606577243098</v>
      </c>
      <c r="W1352" s="17"/>
      <c r="X1352" s="17">
        <v>0.2394754239671</v>
      </c>
      <c r="Y1352" s="17">
        <v>0.25021285151164102</v>
      </c>
    </row>
    <row r="1353" spans="2:25" x14ac:dyDescent="0.35">
      <c r="B1353" t="s">
        <v>507</v>
      </c>
      <c r="C1353" s="17">
        <v>0.15493568836093399</v>
      </c>
      <c r="D1353" s="17">
        <v>0.153488296201717</v>
      </c>
      <c r="E1353" s="17">
        <v>0.15626553723998299</v>
      </c>
      <c r="F1353" s="17"/>
      <c r="G1353" s="17">
        <v>0.163471324855542</v>
      </c>
      <c r="H1353" s="17">
        <v>0.14063618975738801</v>
      </c>
      <c r="I1353" s="17">
        <v>0.14214003416712301</v>
      </c>
      <c r="J1353" s="17">
        <v>0.14738760676572099</v>
      </c>
      <c r="K1353" s="17">
        <v>0.17774153278531099</v>
      </c>
      <c r="L1353" s="17">
        <v>0.158578798912341</v>
      </c>
      <c r="M1353" s="17"/>
      <c r="N1353" s="17">
        <v>9.0450521528569097E-2</v>
      </c>
      <c r="O1353" s="17">
        <v>4.8016513077415099E-2</v>
      </c>
      <c r="P1353" s="17">
        <v>0.145322506726944</v>
      </c>
      <c r="Q1353" s="17">
        <v>0.17049253811711501</v>
      </c>
      <c r="R1353" s="17">
        <v>0.20133379856320699</v>
      </c>
      <c r="S1353" s="17">
        <v>0.12397593593826101</v>
      </c>
      <c r="T1353" s="17">
        <v>0.18429779645396099</v>
      </c>
      <c r="U1353" s="17">
        <v>0.16053644353025301</v>
      </c>
      <c r="V1353" s="17">
        <v>0.101246491066979</v>
      </c>
      <c r="W1353" s="17"/>
      <c r="X1353" s="17">
        <v>0.14755247171021199</v>
      </c>
      <c r="Y1353" s="17">
        <v>0.159021313308915</v>
      </c>
    </row>
    <row r="1354" spans="2:25" x14ac:dyDescent="0.35">
      <c r="B1354" t="s">
        <v>508</v>
      </c>
      <c r="C1354" s="17">
        <v>0.13371638608349201</v>
      </c>
      <c r="D1354" s="17">
        <v>0.134353763378872</v>
      </c>
      <c r="E1354" s="17">
        <v>0.132588852653405</v>
      </c>
      <c r="F1354" s="17"/>
      <c r="G1354" s="17">
        <v>7.7526552031909404E-2</v>
      </c>
      <c r="H1354" s="17">
        <v>0.12575064355322399</v>
      </c>
      <c r="I1354" s="17">
        <v>0.119062639657578</v>
      </c>
      <c r="J1354" s="17">
        <v>0.133360946194441</v>
      </c>
      <c r="K1354" s="17">
        <v>0.14076204176000801</v>
      </c>
      <c r="L1354" s="17">
        <v>0.164347836733235</v>
      </c>
      <c r="M1354" s="17"/>
      <c r="N1354" s="17">
        <v>6.5513681301644894E-2</v>
      </c>
      <c r="O1354" s="17">
        <v>2.0978421774712801E-2</v>
      </c>
      <c r="P1354" s="17">
        <v>0.178235684546381</v>
      </c>
      <c r="Q1354" s="17">
        <v>0.135928327988704</v>
      </c>
      <c r="R1354" s="17">
        <v>0.101087947092766</v>
      </c>
      <c r="S1354" s="17">
        <v>9.5232859301842804E-2</v>
      </c>
      <c r="T1354" s="17">
        <v>0.14032637251813099</v>
      </c>
      <c r="U1354" s="17">
        <v>0.19873681955884701</v>
      </c>
      <c r="V1354" s="17">
        <v>0.107201902916697</v>
      </c>
      <c r="W1354" s="17"/>
      <c r="X1354" s="17">
        <v>0.10725660784008099</v>
      </c>
      <c r="Y1354" s="17">
        <v>0.148358341646148</v>
      </c>
    </row>
    <row r="1355" spans="2:25" x14ac:dyDescent="0.35">
      <c r="B1355" t="s">
        <v>80</v>
      </c>
      <c r="C1355" s="17">
        <v>9.1567058571898396E-2</v>
      </c>
      <c r="D1355" s="17">
        <v>5.0820169868539898E-2</v>
      </c>
      <c r="E1355" s="17">
        <v>0.13001669252769901</v>
      </c>
      <c r="F1355" s="17"/>
      <c r="G1355" s="17">
        <v>5.7646172453908399E-2</v>
      </c>
      <c r="H1355" s="17">
        <v>5.8451483135419001E-2</v>
      </c>
      <c r="I1355" s="17">
        <v>6.9155201778360501E-2</v>
      </c>
      <c r="J1355" s="17">
        <v>0.108070734491354</v>
      </c>
      <c r="K1355" s="17">
        <v>0.108991006528273</v>
      </c>
      <c r="L1355" s="17">
        <v>0.115424124758237</v>
      </c>
      <c r="M1355" s="17"/>
      <c r="N1355" s="17">
        <v>8.2011046106997401E-2</v>
      </c>
      <c r="O1355" s="17">
        <v>3.3121490196873597E-2</v>
      </c>
      <c r="P1355" s="17">
        <v>7.2792364525859299E-2</v>
      </c>
      <c r="Q1355" s="17">
        <v>9.4926044394821496E-2</v>
      </c>
      <c r="R1355" s="17">
        <v>7.4482989810571498E-2</v>
      </c>
      <c r="S1355" s="17">
        <v>0.133559086712606</v>
      </c>
      <c r="T1355" s="17">
        <v>0.13883113033414601</v>
      </c>
      <c r="U1355" s="17">
        <v>4.6100747113041199E-2</v>
      </c>
      <c r="V1355" s="17">
        <v>9.7185246354568905E-2</v>
      </c>
      <c r="W1355" s="17"/>
      <c r="X1355" s="17">
        <v>5.2918431887602702E-2</v>
      </c>
      <c r="Y1355" s="17">
        <v>0.112953914851017</v>
      </c>
    </row>
    <row r="1356" spans="2:25" x14ac:dyDescent="0.35">
      <c r="C1356" s="17"/>
      <c r="D1356" s="17"/>
      <c r="E1356" s="17"/>
      <c r="F1356" s="17"/>
      <c r="G1356" s="17"/>
      <c r="H1356" s="17"/>
      <c r="I1356" s="17"/>
      <c r="J1356" s="17"/>
      <c r="K1356" s="17"/>
      <c r="L1356" s="17"/>
      <c r="M1356" s="17"/>
      <c r="N1356" s="17"/>
      <c r="O1356" s="17"/>
      <c r="P1356" s="17"/>
      <c r="Q1356" s="17"/>
      <c r="R1356" s="17"/>
      <c r="S1356" s="17"/>
      <c r="T1356" s="17"/>
      <c r="U1356" s="17"/>
      <c r="V1356" s="17"/>
      <c r="W1356" s="17"/>
      <c r="X1356" s="17"/>
      <c r="Y1356" s="17"/>
    </row>
    <row r="1357" spans="2:25" x14ac:dyDescent="0.35">
      <c r="B1357" s="6" t="s">
        <v>511</v>
      </c>
      <c r="C1357" s="17"/>
      <c r="D1357" s="17"/>
      <c r="E1357" s="17"/>
      <c r="F1357" s="17"/>
      <c r="G1357" s="17"/>
      <c r="H1357" s="17"/>
      <c r="I1357" s="17"/>
      <c r="J1357" s="17"/>
      <c r="K1357" s="17"/>
      <c r="L1357" s="17"/>
      <c r="M1357" s="17"/>
      <c r="N1357" s="17"/>
      <c r="O1357" s="17"/>
      <c r="P1357" s="17"/>
      <c r="Q1357" s="17"/>
      <c r="R1357" s="17"/>
      <c r="S1357" s="17"/>
      <c r="T1357" s="17"/>
      <c r="U1357" s="17"/>
      <c r="V1357" s="17"/>
      <c r="W1357" s="17"/>
      <c r="X1357" s="17"/>
      <c r="Y1357" s="17"/>
    </row>
    <row r="1358" spans="2:25" x14ac:dyDescent="0.35">
      <c r="B1358" s="24" t="s">
        <v>50</v>
      </c>
      <c r="C1358" s="17"/>
      <c r="D1358" s="17"/>
      <c r="E1358" s="17"/>
      <c r="F1358" s="17"/>
      <c r="G1358" s="17"/>
      <c r="H1358" s="17"/>
      <c r="I1358" s="17"/>
      <c r="J1358" s="17"/>
      <c r="K1358" s="17"/>
      <c r="L1358" s="17"/>
      <c r="M1358" s="17"/>
      <c r="N1358" s="17"/>
      <c r="O1358" s="17"/>
      <c r="P1358" s="17"/>
      <c r="Q1358" s="17"/>
      <c r="R1358" s="17"/>
      <c r="S1358" s="17"/>
      <c r="T1358" s="17"/>
      <c r="U1358" s="17"/>
      <c r="V1358" s="17"/>
      <c r="W1358" s="17"/>
      <c r="X1358" s="17"/>
      <c r="Y1358" s="17"/>
    </row>
    <row r="1359" spans="2:25" x14ac:dyDescent="0.35">
      <c r="B1359" t="s">
        <v>504</v>
      </c>
      <c r="C1359" s="17">
        <v>6.1965580806642502E-2</v>
      </c>
      <c r="D1359" s="17">
        <v>8.2421339716655301E-2</v>
      </c>
      <c r="E1359" s="17">
        <v>4.2956466954342999E-2</v>
      </c>
      <c r="F1359" s="17"/>
      <c r="G1359" s="17">
        <v>0.120099336994335</v>
      </c>
      <c r="H1359" s="17">
        <v>8.9850696111194395E-2</v>
      </c>
      <c r="I1359" s="17">
        <v>7.9902588218683498E-2</v>
      </c>
      <c r="J1359" s="17">
        <v>5.1695607000050499E-2</v>
      </c>
      <c r="K1359" s="17">
        <v>4.1730294562745997E-2</v>
      </c>
      <c r="L1359" s="17">
        <v>3.2655215784013501E-2</v>
      </c>
      <c r="M1359" s="17"/>
      <c r="N1359" s="17">
        <v>0.103633022950491</v>
      </c>
      <c r="O1359" s="17">
        <v>0.131058617892718</v>
      </c>
      <c r="P1359" s="17">
        <v>6.1843061562977399E-2</v>
      </c>
      <c r="Q1359" s="17">
        <v>5.8956778825635998E-2</v>
      </c>
      <c r="R1359" s="17">
        <v>5.1443512395979302E-2</v>
      </c>
      <c r="S1359" s="17">
        <v>5.4291716447564399E-2</v>
      </c>
      <c r="T1359" s="17">
        <v>3.45747464305899E-2</v>
      </c>
      <c r="U1359" s="17">
        <v>7.0019426569594603E-2</v>
      </c>
      <c r="V1359" s="17">
        <v>0.10733632601300699</v>
      </c>
      <c r="W1359" s="17"/>
      <c r="X1359" s="17">
        <v>8.5192937989231499E-2</v>
      </c>
      <c r="Y1359" s="17">
        <v>4.9112338856660602E-2</v>
      </c>
    </row>
    <row r="1360" spans="2:25" x14ac:dyDescent="0.35">
      <c r="B1360" t="s">
        <v>505</v>
      </c>
      <c r="C1360" s="17">
        <v>0.26740427203017297</v>
      </c>
      <c r="D1360" s="17">
        <v>0.301641387974319</v>
      </c>
      <c r="E1360" s="17">
        <v>0.23477689150366399</v>
      </c>
      <c r="F1360" s="17"/>
      <c r="G1360" s="17">
        <v>0.29434014416468701</v>
      </c>
      <c r="H1360" s="17">
        <v>0.31428927707381199</v>
      </c>
      <c r="I1360" s="17">
        <v>0.31561803841389402</v>
      </c>
      <c r="J1360" s="17">
        <v>0.27543028103598099</v>
      </c>
      <c r="K1360" s="17">
        <v>0.23441770427686501</v>
      </c>
      <c r="L1360" s="17">
        <v>0.21492593921115</v>
      </c>
      <c r="M1360" s="17"/>
      <c r="N1360" s="17">
        <v>0.30627528554866601</v>
      </c>
      <c r="O1360" s="17">
        <v>0.43020354521509502</v>
      </c>
      <c r="P1360" s="17">
        <v>0.26007353101022601</v>
      </c>
      <c r="Q1360" s="17">
        <v>0.27782023479022799</v>
      </c>
      <c r="R1360" s="17">
        <v>0.28859448919564201</v>
      </c>
      <c r="S1360" s="17">
        <v>0.25864614005895598</v>
      </c>
      <c r="T1360" s="17">
        <v>0.18057988815499801</v>
      </c>
      <c r="U1360" s="17">
        <v>0.27820196610450698</v>
      </c>
      <c r="V1360" s="17">
        <v>0.31750839367852601</v>
      </c>
      <c r="W1360" s="17"/>
      <c r="X1360" s="17">
        <v>0.31417468839475698</v>
      </c>
      <c r="Y1360" s="17">
        <v>0.241523089211578</v>
      </c>
    </row>
    <row r="1361" spans="2:25" x14ac:dyDescent="0.35">
      <c r="B1361" t="s">
        <v>506</v>
      </c>
      <c r="C1361" s="17">
        <v>0.28205799979580398</v>
      </c>
      <c r="D1361" s="17">
        <v>0.28132986835135998</v>
      </c>
      <c r="E1361" s="17">
        <v>0.28387209309160699</v>
      </c>
      <c r="F1361" s="17"/>
      <c r="G1361" s="17">
        <v>0.29317246683169101</v>
      </c>
      <c r="H1361" s="17">
        <v>0.30206402505067897</v>
      </c>
      <c r="I1361" s="17">
        <v>0.298172909912441</v>
      </c>
      <c r="J1361" s="17">
        <v>0.27375516688032803</v>
      </c>
      <c r="K1361" s="17">
        <v>0.27045346482786098</v>
      </c>
      <c r="L1361" s="17">
        <v>0.26905363026984103</v>
      </c>
      <c r="M1361" s="17"/>
      <c r="N1361" s="17">
        <v>0.25616648923643198</v>
      </c>
      <c r="O1361" s="17">
        <v>0.28853516526717099</v>
      </c>
      <c r="P1361" s="17">
        <v>0.22591995875110801</v>
      </c>
      <c r="Q1361" s="17">
        <v>0.29057629606248803</v>
      </c>
      <c r="R1361" s="17">
        <v>0.22442073542515201</v>
      </c>
      <c r="S1361" s="17">
        <v>0.29236452811596397</v>
      </c>
      <c r="T1361" s="17">
        <v>0.40821920051184202</v>
      </c>
      <c r="U1361" s="17">
        <v>0.25678748359903603</v>
      </c>
      <c r="V1361" s="17">
        <v>0.27675111038850803</v>
      </c>
      <c r="W1361" s="17"/>
      <c r="X1361" s="17">
        <v>0.28733134679446398</v>
      </c>
      <c r="Y1361" s="17">
        <v>0.279139906087288</v>
      </c>
    </row>
    <row r="1362" spans="2:25" x14ac:dyDescent="0.35">
      <c r="B1362" t="s">
        <v>507</v>
      </c>
      <c r="C1362" s="17">
        <v>0.17918395166826401</v>
      </c>
      <c r="D1362" s="17">
        <v>0.17264389666412799</v>
      </c>
      <c r="E1362" s="17">
        <v>0.18512307037971601</v>
      </c>
      <c r="F1362" s="17"/>
      <c r="G1362" s="17">
        <v>0.14969579190424301</v>
      </c>
      <c r="H1362" s="17">
        <v>0.15824309112820301</v>
      </c>
      <c r="I1362" s="17">
        <v>0.151563806005659</v>
      </c>
      <c r="J1362" s="17">
        <v>0.17216257086603101</v>
      </c>
      <c r="K1362" s="17">
        <v>0.19932723819706799</v>
      </c>
      <c r="L1362" s="17">
        <v>0.21181091739861399</v>
      </c>
      <c r="M1362" s="17"/>
      <c r="N1362" s="17">
        <v>0.16773835304378601</v>
      </c>
      <c r="O1362" s="17">
        <v>6.6693245223292105E-2</v>
      </c>
      <c r="P1362" s="17">
        <v>0.18719729408583</v>
      </c>
      <c r="Q1362" s="17">
        <v>0.17817665829826501</v>
      </c>
      <c r="R1362" s="17">
        <v>0.27003964228940303</v>
      </c>
      <c r="S1362" s="17">
        <v>0.15259499665916801</v>
      </c>
      <c r="T1362" s="17">
        <v>0.15190657138018701</v>
      </c>
      <c r="U1362" s="17">
        <v>0.190932151553629</v>
      </c>
      <c r="V1362" s="17">
        <v>0.102632674412099</v>
      </c>
      <c r="W1362" s="17"/>
      <c r="X1362" s="17">
        <v>0.16504464010962999</v>
      </c>
      <c r="Y1362" s="17">
        <v>0.18700817338409201</v>
      </c>
    </row>
    <row r="1363" spans="2:25" x14ac:dyDescent="0.35">
      <c r="B1363" t="s">
        <v>508</v>
      </c>
      <c r="C1363" s="17">
        <v>0.107590480558631</v>
      </c>
      <c r="D1363" s="17">
        <v>0.100202174521556</v>
      </c>
      <c r="E1363" s="17">
        <v>0.11365206300080299</v>
      </c>
      <c r="F1363" s="17"/>
      <c r="G1363" s="17">
        <v>6.9695654301205404E-2</v>
      </c>
      <c r="H1363" s="17">
        <v>7.3379820560670703E-2</v>
      </c>
      <c r="I1363" s="17">
        <v>8.1552379042480902E-2</v>
      </c>
      <c r="J1363" s="17">
        <v>0.111601760221582</v>
      </c>
      <c r="K1363" s="17">
        <v>0.13364620465739899</v>
      </c>
      <c r="L1363" s="17">
        <v>0.13875583715831999</v>
      </c>
      <c r="M1363" s="17"/>
      <c r="N1363" s="17">
        <v>7.9173593901613507E-2</v>
      </c>
      <c r="O1363" s="17">
        <v>3.6757628321956899E-2</v>
      </c>
      <c r="P1363" s="17">
        <v>0.18264125579360599</v>
      </c>
      <c r="Q1363" s="17">
        <v>9.4060243888635597E-2</v>
      </c>
      <c r="R1363" s="17">
        <v>8.5413715436422399E-2</v>
      </c>
      <c r="S1363" s="17">
        <v>8.9972409159272904E-2</v>
      </c>
      <c r="T1363" s="17">
        <v>6.6915497905335103E-2</v>
      </c>
      <c r="U1363" s="17">
        <v>0.15710881342196301</v>
      </c>
      <c r="V1363" s="17">
        <v>8.1541014195265799E-2</v>
      </c>
      <c r="W1363" s="17"/>
      <c r="X1363" s="17">
        <v>8.6530153926873798E-2</v>
      </c>
      <c r="Y1363" s="17">
        <v>0.119244560341179</v>
      </c>
    </row>
    <row r="1364" spans="2:25" x14ac:dyDescent="0.35">
      <c r="B1364" t="s">
        <v>80</v>
      </c>
      <c r="C1364" s="17">
        <v>0.101797715140485</v>
      </c>
      <c r="D1364" s="17">
        <v>6.1761332771981398E-2</v>
      </c>
      <c r="E1364" s="17">
        <v>0.139619415069867</v>
      </c>
      <c r="F1364" s="17"/>
      <c r="G1364" s="17">
        <v>7.2996605803838793E-2</v>
      </c>
      <c r="H1364" s="17">
        <v>6.2173090075439801E-2</v>
      </c>
      <c r="I1364" s="17">
        <v>7.3190278406841502E-2</v>
      </c>
      <c r="J1364" s="17">
        <v>0.11535461399602701</v>
      </c>
      <c r="K1364" s="17">
        <v>0.12042509347806001</v>
      </c>
      <c r="L1364" s="17">
        <v>0.13279846017806199</v>
      </c>
      <c r="M1364" s="17"/>
      <c r="N1364" s="17">
        <v>8.7013255319012398E-2</v>
      </c>
      <c r="O1364" s="17">
        <v>4.6751798079767398E-2</v>
      </c>
      <c r="P1364" s="17">
        <v>8.2324898796251503E-2</v>
      </c>
      <c r="Q1364" s="17">
        <v>0.10040978813474701</v>
      </c>
      <c r="R1364" s="17">
        <v>8.0087905257400602E-2</v>
      </c>
      <c r="S1364" s="17">
        <v>0.152130209559075</v>
      </c>
      <c r="T1364" s="17">
        <v>0.157804095617047</v>
      </c>
      <c r="U1364" s="17">
        <v>4.6950158751270302E-2</v>
      </c>
      <c r="V1364" s="17">
        <v>0.114230481312594</v>
      </c>
      <c r="W1364" s="17"/>
      <c r="X1364" s="17">
        <v>6.1726232785044202E-2</v>
      </c>
      <c r="Y1364" s="17">
        <v>0.123971932119203</v>
      </c>
    </row>
    <row r="1365" spans="2:25" x14ac:dyDescent="0.35">
      <c r="C1365" s="17"/>
      <c r="D1365" s="17"/>
      <c r="E1365" s="17"/>
      <c r="F1365" s="17"/>
      <c r="G1365" s="17"/>
      <c r="H1365" s="17"/>
      <c r="I1365" s="17"/>
      <c r="J1365" s="17"/>
      <c r="K1365" s="17"/>
      <c r="L1365" s="17"/>
      <c r="M1365" s="17"/>
      <c r="N1365" s="17"/>
      <c r="O1365" s="17"/>
      <c r="P1365" s="17"/>
      <c r="Q1365" s="17"/>
      <c r="R1365" s="17"/>
      <c r="S1365" s="17"/>
      <c r="T1365" s="17"/>
      <c r="U1365" s="17"/>
      <c r="V1365" s="17"/>
      <c r="W1365" s="17"/>
      <c r="X1365" s="17"/>
      <c r="Y1365" s="17"/>
    </row>
    <row r="1366" spans="2:25" x14ac:dyDescent="0.35">
      <c r="B1366" s="6" t="s">
        <v>512</v>
      </c>
      <c r="C1366" s="17"/>
      <c r="D1366" s="17"/>
      <c r="E1366" s="17"/>
      <c r="F1366" s="17"/>
      <c r="G1366" s="17"/>
      <c r="H1366" s="17"/>
      <c r="I1366" s="17"/>
      <c r="J1366" s="17"/>
      <c r="K1366" s="17"/>
      <c r="L1366" s="17"/>
      <c r="M1366" s="17"/>
      <c r="N1366" s="17"/>
      <c r="O1366" s="17"/>
      <c r="P1366" s="17"/>
      <c r="Q1366" s="17"/>
      <c r="R1366" s="17"/>
      <c r="S1366" s="17"/>
      <c r="T1366" s="17"/>
      <c r="U1366" s="17"/>
      <c r="V1366" s="17"/>
      <c r="W1366" s="17"/>
      <c r="X1366" s="17"/>
      <c r="Y1366" s="17"/>
    </row>
    <row r="1367" spans="2:25" x14ac:dyDescent="0.35">
      <c r="B1367" s="24" t="s">
        <v>50</v>
      </c>
      <c r="C1367" s="17"/>
      <c r="D1367" s="17"/>
      <c r="E1367" s="17"/>
      <c r="F1367" s="17"/>
      <c r="G1367" s="17"/>
      <c r="H1367" s="17"/>
      <c r="I1367" s="17"/>
      <c r="J1367" s="17"/>
      <c r="K1367" s="17"/>
      <c r="L1367" s="17"/>
      <c r="M1367" s="17"/>
      <c r="N1367" s="17"/>
      <c r="O1367" s="17"/>
      <c r="P1367" s="17"/>
      <c r="Q1367" s="17"/>
      <c r="R1367" s="17"/>
      <c r="S1367" s="17"/>
      <c r="T1367" s="17"/>
      <c r="U1367" s="17"/>
      <c r="V1367" s="17"/>
      <c r="W1367" s="17"/>
      <c r="X1367" s="17"/>
      <c r="Y1367" s="17"/>
    </row>
    <row r="1368" spans="2:25" x14ac:dyDescent="0.35">
      <c r="B1368" t="s">
        <v>504</v>
      </c>
      <c r="C1368" s="17">
        <v>4.7215210215333203E-2</v>
      </c>
      <c r="D1368" s="17">
        <v>6.7796896413379507E-2</v>
      </c>
      <c r="E1368" s="17">
        <v>2.80285260473285E-2</v>
      </c>
      <c r="F1368" s="17"/>
      <c r="G1368" s="17">
        <v>9.0100409277424506E-2</v>
      </c>
      <c r="H1368" s="17">
        <v>7.5712900143843298E-2</v>
      </c>
      <c r="I1368" s="17">
        <v>6.5781625344183595E-2</v>
      </c>
      <c r="J1368" s="17">
        <v>3.8941437789822703E-2</v>
      </c>
      <c r="K1368" s="17">
        <v>2.8639034570294201E-2</v>
      </c>
      <c r="L1368" s="17">
        <v>2.0357014690096702E-2</v>
      </c>
      <c r="M1368" s="17"/>
      <c r="N1368" s="17">
        <v>8.9044548635271295E-2</v>
      </c>
      <c r="O1368" s="17">
        <v>5.7445088819481398E-2</v>
      </c>
      <c r="P1368" s="17">
        <v>5.26277502525423E-2</v>
      </c>
      <c r="Q1368" s="17">
        <v>5.1552116737326403E-2</v>
      </c>
      <c r="R1368" s="17">
        <v>3.7493039326189199E-2</v>
      </c>
      <c r="S1368" s="17">
        <v>4.00644485437247E-2</v>
      </c>
      <c r="T1368" s="17">
        <v>2.7279696539163699E-2</v>
      </c>
      <c r="U1368" s="17">
        <v>6.3839851924866103E-2</v>
      </c>
      <c r="V1368" s="17">
        <v>4.6627774708201897E-2</v>
      </c>
      <c r="W1368" s="17"/>
      <c r="X1368" s="17">
        <v>6.76174192832973E-2</v>
      </c>
      <c r="Y1368" s="17">
        <v>3.5925310662695997E-2</v>
      </c>
    </row>
    <row r="1369" spans="2:25" x14ac:dyDescent="0.35">
      <c r="B1369" t="s">
        <v>505</v>
      </c>
      <c r="C1369" s="17">
        <v>0.21084680539709699</v>
      </c>
      <c r="D1369" s="17">
        <v>0.23604735160273599</v>
      </c>
      <c r="E1369" s="17">
        <v>0.18737636055864901</v>
      </c>
      <c r="F1369" s="17"/>
      <c r="G1369" s="17">
        <v>0.297783848933315</v>
      </c>
      <c r="H1369" s="17">
        <v>0.26790212647980699</v>
      </c>
      <c r="I1369" s="17">
        <v>0.27006323814406702</v>
      </c>
      <c r="J1369" s="17">
        <v>0.20085352940038501</v>
      </c>
      <c r="K1369" s="17">
        <v>0.16274426592710001</v>
      </c>
      <c r="L1369" s="17">
        <v>0.145223953950774</v>
      </c>
      <c r="M1369" s="17"/>
      <c r="N1369" s="17">
        <v>0.26552442826053702</v>
      </c>
      <c r="O1369" s="17">
        <v>0.396458986688486</v>
      </c>
      <c r="P1369" s="17">
        <v>0.199909661830969</v>
      </c>
      <c r="Q1369" s="17">
        <v>0.17153432202566499</v>
      </c>
      <c r="R1369" s="17">
        <v>0.232056198638174</v>
      </c>
      <c r="S1369" s="17">
        <v>0.186842131658043</v>
      </c>
      <c r="T1369" s="17">
        <v>0.17193472346727401</v>
      </c>
      <c r="U1369" s="17">
        <v>0.24863758935452601</v>
      </c>
      <c r="V1369" s="17">
        <v>0.22497230009966601</v>
      </c>
      <c r="W1369" s="17"/>
      <c r="X1369" s="17">
        <v>0.24882662861438801</v>
      </c>
      <c r="Y1369" s="17">
        <v>0.189830042569026</v>
      </c>
    </row>
    <row r="1370" spans="2:25" x14ac:dyDescent="0.35">
      <c r="B1370" t="s">
        <v>506</v>
      </c>
      <c r="C1370" s="17">
        <v>0.27122645682080998</v>
      </c>
      <c r="D1370" s="17">
        <v>0.28140522438764898</v>
      </c>
      <c r="E1370" s="17">
        <v>0.26215752779394103</v>
      </c>
      <c r="F1370" s="17"/>
      <c r="G1370" s="17">
        <v>0.27644803907335902</v>
      </c>
      <c r="H1370" s="17">
        <v>0.30621049708579301</v>
      </c>
      <c r="I1370" s="17">
        <v>0.28785029733151701</v>
      </c>
      <c r="J1370" s="17">
        <v>0.26691837769983301</v>
      </c>
      <c r="K1370" s="17">
        <v>0.26259416214981801</v>
      </c>
      <c r="L1370" s="17">
        <v>0.24653569292983199</v>
      </c>
      <c r="M1370" s="17"/>
      <c r="N1370" s="17">
        <v>0.22300598687298401</v>
      </c>
      <c r="O1370" s="17">
        <v>0.32750046299327801</v>
      </c>
      <c r="P1370" s="17">
        <v>0.221916774664246</v>
      </c>
      <c r="Q1370" s="17">
        <v>0.29748420432591799</v>
      </c>
      <c r="R1370" s="17">
        <v>0.22178692054757701</v>
      </c>
      <c r="S1370" s="17">
        <v>0.279727423529672</v>
      </c>
      <c r="T1370" s="17">
        <v>0.36574176928924801</v>
      </c>
      <c r="U1370" s="17">
        <v>0.24392952211121</v>
      </c>
      <c r="V1370" s="17">
        <v>0.25990927496636801</v>
      </c>
      <c r="W1370" s="17"/>
      <c r="X1370" s="17">
        <v>0.27418826820107101</v>
      </c>
      <c r="Y1370" s="17">
        <v>0.26958748954694201</v>
      </c>
    </row>
    <row r="1371" spans="2:25" x14ac:dyDescent="0.35">
      <c r="B1371" t="s">
        <v>507</v>
      </c>
      <c r="C1371" s="17">
        <v>0.21851650606707099</v>
      </c>
      <c r="D1371" s="17">
        <v>0.21389810223525099</v>
      </c>
      <c r="E1371" s="17">
        <v>0.22278166662483101</v>
      </c>
      <c r="F1371" s="17"/>
      <c r="G1371" s="17">
        <v>0.18730860672309499</v>
      </c>
      <c r="H1371" s="17">
        <v>0.180464011739322</v>
      </c>
      <c r="I1371" s="17">
        <v>0.18659216137099599</v>
      </c>
      <c r="J1371" s="17">
        <v>0.20893360128824601</v>
      </c>
      <c r="K1371" s="17">
        <v>0.244744395654969</v>
      </c>
      <c r="L1371" s="17">
        <v>0.262419648811962</v>
      </c>
      <c r="M1371" s="17"/>
      <c r="N1371" s="17">
        <v>0.224663134511497</v>
      </c>
      <c r="O1371" s="17">
        <v>9.4737784996237195E-2</v>
      </c>
      <c r="P1371" s="17">
        <v>0.20408717547618099</v>
      </c>
      <c r="Q1371" s="17">
        <v>0.23889829352008499</v>
      </c>
      <c r="R1371" s="17">
        <v>0.30944459064205998</v>
      </c>
      <c r="S1371" s="17">
        <v>0.19318011854470901</v>
      </c>
      <c r="T1371" s="17">
        <v>0.19739919466499001</v>
      </c>
      <c r="U1371" s="17">
        <v>0.21047063083481801</v>
      </c>
      <c r="V1371" s="17">
        <v>0.17184111806796501</v>
      </c>
      <c r="W1371" s="17"/>
      <c r="X1371" s="17">
        <v>0.21108621159896701</v>
      </c>
      <c r="Y1371" s="17">
        <v>0.222628182303304</v>
      </c>
    </row>
    <row r="1372" spans="2:25" x14ac:dyDescent="0.35">
      <c r="B1372" t="s">
        <v>508</v>
      </c>
      <c r="C1372" s="17">
        <v>0.14786709796667999</v>
      </c>
      <c r="D1372" s="17">
        <v>0.14019936267014799</v>
      </c>
      <c r="E1372" s="17">
        <v>0.15407090531214401</v>
      </c>
      <c r="F1372" s="17"/>
      <c r="G1372" s="17">
        <v>7.37047807966624E-2</v>
      </c>
      <c r="H1372" s="17">
        <v>0.1064946289744</v>
      </c>
      <c r="I1372" s="17">
        <v>0.110558389753226</v>
      </c>
      <c r="J1372" s="17">
        <v>0.16498165087126099</v>
      </c>
      <c r="K1372" s="17">
        <v>0.17188345229469701</v>
      </c>
      <c r="L1372" s="17">
        <v>0.196386771956224</v>
      </c>
      <c r="M1372" s="17"/>
      <c r="N1372" s="17">
        <v>0.10332361219590699</v>
      </c>
      <c r="O1372" s="17">
        <v>5.3101109775283102E-2</v>
      </c>
      <c r="P1372" s="17">
        <v>0.24466160303697301</v>
      </c>
      <c r="Q1372" s="17">
        <v>0.14334047163132399</v>
      </c>
      <c r="R1372" s="17">
        <v>0.110585189156776</v>
      </c>
      <c r="S1372" s="17">
        <v>0.14482934139371501</v>
      </c>
      <c r="T1372" s="17">
        <v>7.9804777556900505E-2</v>
      </c>
      <c r="U1372" s="17">
        <v>0.17941020220929299</v>
      </c>
      <c r="V1372" s="17">
        <v>0.179843845746918</v>
      </c>
      <c r="W1372" s="17"/>
      <c r="X1372" s="17">
        <v>0.131104604780443</v>
      </c>
      <c r="Y1372" s="17">
        <v>0.15714290058658101</v>
      </c>
    </row>
    <row r="1373" spans="2:25" x14ac:dyDescent="0.35">
      <c r="B1373" t="s">
        <v>80</v>
      </c>
      <c r="C1373" s="17">
        <v>0.104327923533009</v>
      </c>
      <c r="D1373" s="17">
        <v>6.0653062690836097E-2</v>
      </c>
      <c r="E1373" s="17">
        <v>0.145585013663106</v>
      </c>
      <c r="F1373" s="17"/>
      <c r="G1373" s="17">
        <v>7.4654315196143906E-2</v>
      </c>
      <c r="H1373" s="17">
        <v>6.3215835576835994E-2</v>
      </c>
      <c r="I1373" s="17">
        <v>7.9154288056010005E-2</v>
      </c>
      <c r="J1373" s="17">
        <v>0.119371402950452</v>
      </c>
      <c r="K1373" s="17">
        <v>0.12939468940312199</v>
      </c>
      <c r="L1373" s="17">
        <v>0.12907691766111101</v>
      </c>
      <c r="M1373" s="17"/>
      <c r="N1373" s="17">
        <v>9.4438289523803301E-2</v>
      </c>
      <c r="O1373" s="17">
        <v>7.0756566727234405E-2</v>
      </c>
      <c r="P1373" s="17">
        <v>7.6797034739087999E-2</v>
      </c>
      <c r="Q1373" s="17">
        <v>9.7190591759681894E-2</v>
      </c>
      <c r="R1373" s="17">
        <v>8.8634061689223997E-2</v>
      </c>
      <c r="S1373" s="17">
        <v>0.15535653633013699</v>
      </c>
      <c r="T1373" s="17">
        <v>0.157839838482424</v>
      </c>
      <c r="U1373" s="17">
        <v>5.3712203565287497E-2</v>
      </c>
      <c r="V1373" s="17">
        <v>0.11680568641088</v>
      </c>
      <c r="W1373" s="17"/>
      <c r="X1373" s="17">
        <v>6.7176867521833494E-2</v>
      </c>
      <c r="Y1373" s="17">
        <v>0.124886074331452</v>
      </c>
    </row>
    <row r="1374" spans="2:25" x14ac:dyDescent="0.35">
      <c r="C1374" s="17"/>
      <c r="D1374" s="17"/>
      <c r="E1374" s="17"/>
      <c r="F1374" s="17"/>
      <c r="G1374" s="17"/>
      <c r="H1374" s="17"/>
      <c r="I1374" s="17"/>
      <c r="J1374" s="17"/>
      <c r="K1374" s="17"/>
      <c r="L1374" s="17"/>
      <c r="M1374" s="17"/>
      <c r="N1374" s="17"/>
      <c r="O1374" s="17"/>
      <c r="P1374" s="17"/>
      <c r="Q1374" s="17"/>
      <c r="R1374" s="17"/>
      <c r="S1374" s="17"/>
      <c r="T1374" s="17"/>
      <c r="U1374" s="17"/>
      <c r="V1374" s="17"/>
      <c r="W1374" s="17"/>
      <c r="X1374" s="17"/>
      <c r="Y1374" s="17"/>
    </row>
    <row r="1375" spans="2:25" x14ac:dyDescent="0.35">
      <c r="B1375" s="6" t="s">
        <v>513</v>
      </c>
      <c r="C1375" s="17"/>
      <c r="D1375" s="17"/>
      <c r="E1375" s="17"/>
      <c r="F1375" s="17"/>
      <c r="G1375" s="17"/>
      <c r="H1375" s="17"/>
      <c r="I1375" s="17"/>
      <c r="J1375" s="17"/>
      <c r="K1375" s="17"/>
      <c r="L1375" s="17"/>
      <c r="M1375" s="17"/>
      <c r="N1375" s="17"/>
      <c r="O1375" s="17"/>
      <c r="P1375" s="17"/>
      <c r="Q1375" s="17"/>
      <c r="R1375" s="17"/>
      <c r="S1375" s="17"/>
      <c r="T1375" s="17"/>
      <c r="U1375" s="17"/>
      <c r="V1375" s="17"/>
      <c r="W1375" s="17"/>
      <c r="X1375" s="17"/>
      <c r="Y1375" s="17"/>
    </row>
    <row r="1376" spans="2:25" x14ac:dyDescent="0.35">
      <c r="B1376" s="24" t="s">
        <v>50</v>
      </c>
      <c r="C1376" s="17"/>
      <c r="D1376" s="17"/>
      <c r="E1376" s="17"/>
      <c r="F1376" s="17"/>
      <c r="G1376" s="17"/>
      <c r="H1376" s="17"/>
      <c r="I1376" s="17"/>
      <c r="J1376" s="17"/>
      <c r="K1376" s="17"/>
      <c r="L1376" s="17"/>
      <c r="M1376" s="17"/>
      <c r="N1376" s="17"/>
      <c r="O1376" s="17"/>
      <c r="P1376" s="17"/>
      <c r="Q1376" s="17"/>
      <c r="R1376" s="17"/>
      <c r="S1376" s="17"/>
      <c r="T1376" s="17"/>
      <c r="U1376" s="17"/>
      <c r="V1376" s="17"/>
      <c r="W1376" s="17"/>
      <c r="X1376" s="17"/>
      <c r="Y1376" s="17"/>
    </row>
    <row r="1377" spans="2:25" x14ac:dyDescent="0.35">
      <c r="B1377" t="s">
        <v>504</v>
      </c>
      <c r="C1377" s="17">
        <v>3.01243537027229E-2</v>
      </c>
      <c r="D1377" s="17">
        <v>4.2981583448722702E-2</v>
      </c>
      <c r="E1377" s="17">
        <v>1.8141089892057399E-2</v>
      </c>
      <c r="F1377" s="17"/>
      <c r="G1377" s="17">
        <v>4.9915607919768998E-2</v>
      </c>
      <c r="H1377" s="17">
        <v>6.5387303289438398E-2</v>
      </c>
      <c r="I1377" s="17">
        <v>4.2477373502961699E-2</v>
      </c>
      <c r="J1377" s="17">
        <v>2.4103954910124101E-2</v>
      </c>
      <c r="K1377" s="17">
        <v>1.4178845305913099E-2</v>
      </c>
      <c r="L1377" s="17">
        <v>8.56976446442787E-3</v>
      </c>
      <c r="M1377" s="17"/>
      <c r="N1377" s="17">
        <v>5.1592136887597402E-2</v>
      </c>
      <c r="O1377" s="17">
        <v>2.50854382355085E-2</v>
      </c>
      <c r="P1377" s="17">
        <v>3.0501801532584499E-2</v>
      </c>
      <c r="Q1377" s="17">
        <v>2.8374873449902999E-2</v>
      </c>
      <c r="R1377" s="17">
        <v>2.4797984847859899E-2</v>
      </c>
      <c r="S1377" s="17">
        <v>2.5347764730351201E-2</v>
      </c>
      <c r="T1377" s="17">
        <v>1.55238257628142E-2</v>
      </c>
      <c r="U1377" s="17">
        <v>4.2630821534473298E-2</v>
      </c>
      <c r="V1377" s="17">
        <v>5.52127550749483E-2</v>
      </c>
      <c r="W1377" s="17"/>
      <c r="X1377" s="17">
        <v>4.1055046718903497E-2</v>
      </c>
      <c r="Y1377" s="17">
        <v>2.4075674082672999E-2</v>
      </c>
    </row>
    <row r="1378" spans="2:25" x14ac:dyDescent="0.35">
      <c r="B1378" t="s">
        <v>505</v>
      </c>
      <c r="C1378" s="17">
        <v>0.151128349529705</v>
      </c>
      <c r="D1378" s="17">
        <v>0.17723651989666001</v>
      </c>
      <c r="E1378" s="17">
        <v>0.12656450869323099</v>
      </c>
      <c r="F1378" s="17"/>
      <c r="G1378" s="17">
        <v>0.23389157817112999</v>
      </c>
      <c r="H1378" s="17">
        <v>0.193120781286967</v>
      </c>
      <c r="I1378" s="17">
        <v>0.218264827537267</v>
      </c>
      <c r="J1378" s="17">
        <v>0.14568590311187701</v>
      </c>
      <c r="K1378" s="17">
        <v>0.105493405894103</v>
      </c>
      <c r="L1378" s="17">
        <v>8.6161415629773003E-2</v>
      </c>
      <c r="M1378" s="17"/>
      <c r="N1378" s="17">
        <v>0.18002099483695999</v>
      </c>
      <c r="O1378" s="17">
        <v>0.25369773017314201</v>
      </c>
      <c r="P1378" s="17">
        <v>0.12867730897893701</v>
      </c>
      <c r="Q1378" s="17">
        <v>0.119414014215158</v>
      </c>
      <c r="R1378" s="17">
        <v>0.16523174949904301</v>
      </c>
      <c r="S1378" s="17">
        <v>0.12574593751105401</v>
      </c>
      <c r="T1378" s="17">
        <v>0.147261878997896</v>
      </c>
      <c r="U1378" s="17">
        <v>0.197887664793819</v>
      </c>
      <c r="V1378" s="17">
        <v>0.14091764187391101</v>
      </c>
      <c r="W1378" s="17"/>
      <c r="X1378" s="17">
        <v>0.18348262382752001</v>
      </c>
      <c r="Y1378" s="17">
        <v>0.13322457716348801</v>
      </c>
    </row>
    <row r="1379" spans="2:25" x14ac:dyDescent="0.35">
      <c r="B1379" t="s">
        <v>506</v>
      </c>
      <c r="C1379" s="17">
        <v>0.24191193739386199</v>
      </c>
      <c r="D1379" s="17">
        <v>0.26253265141176002</v>
      </c>
      <c r="E1379" s="17">
        <v>0.223467573996212</v>
      </c>
      <c r="F1379" s="17"/>
      <c r="G1379" s="17">
        <v>0.27877043100905302</v>
      </c>
      <c r="H1379" s="17">
        <v>0.29318598473082402</v>
      </c>
      <c r="I1379" s="17">
        <v>0.27484848508870602</v>
      </c>
      <c r="J1379" s="17">
        <v>0.240048724010928</v>
      </c>
      <c r="K1379" s="17">
        <v>0.23362848429359301</v>
      </c>
      <c r="L1379" s="17">
        <v>0.18344001956092501</v>
      </c>
      <c r="M1379" s="17"/>
      <c r="N1379" s="17">
        <v>0.185377283513569</v>
      </c>
      <c r="O1379" s="17">
        <v>0.35718188010947499</v>
      </c>
      <c r="P1379" s="17">
        <v>0.18610618935489801</v>
      </c>
      <c r="Q1379" s="17">
        <v>0.23888665466282999</v>
      </c>
      <c r="R1379" s="17">
        <v>0.18291008815191601</v>
      </c>
      <c r="S1379" s="17">
        <v>0.25352018195797599</v>
      </c>
      <c r="T1379" s="17">
        <v>0.35897021949538799</v>
      </c>
      <c r="U1379" s="17">
        <v>0.212933183347458</v>
      </c>
      <c r="V1379" s="17">
        <v>0.25827933953723298</v>
      </c>
      <c r="W1379" s="17"/>
      <c r="X1379" s="17">
        <v>0.26076862540038198</v>
      </c>
      <c r="Y1379" s="17">
        <v>0.23147727746170299</v>
      </c>
    </row>
    <row r="1380" spans="2:25" x14ac:dyDescent="0.35">
      <c r="B1380" t="s">
        <v>507</v>
      </c>
      <c r="C1380" s="17">
        <v>0.256432868598237</v>
      </c>
      <c r="D1380" s="17">
        <v>0.25498416794671402</v>
      </c>
      <c r="E1380" s="17">
        <v>0.257850818630672</v>
      </c>
      <c r="F1380" s="17"/>
      <c r="G1380" s="17">
        <v>0.21578345852397399</v>
      </c>
      <c r="H1380" s="17">
        <v>0.23679756937635399</v>
      </c>
      <c r="I1380" s="17">
        <v>0.23089299086454401</v>
      </c>
      <c r="J1380" s="17">
        <v>0.25447883488745798</v>
      </c>
      <c r="K1380" s="17">
        <v>0.26793370486423501</v>
      </c>
      <c r="L1380" s="17">
        <v>0.29333205313644201</v>
      </c>
      <c r="M1380" s="17"/>
      <c r="N1380" s="17">
        <v>0.279393600673147</v>
      </c>
      <c r="O1380" s="17">
        <v>0.22362663951828901</v>
      </c>
      <c r="P1380" s="17">
        <v>0.20117795586304199</v>
      </c>
      <c r="Q1380" s="17">
        <v>0.29763076617807999</v>
      </c>
      <c r="R1380" s="17">
        <v>0.363719013787416</v>
      </c>
      <c r="S1380" s="17">
        <v>0.23600964851519499</v>
      </c>
      <c r="T1380" s="17">
        <v>0.201412062756821</v>
      </c>
      <c r="U1380" s="17">
        <v>0.25503399772624902</v>
      </c>
      <c r="V1380" s="17">
        <v>0.22073657675476699</v>
      </c>
      <c r="W1380" s="17"/>
      <c r="X1380" s="17">
        <v>0.26104206387421403</v>
      </c>
      <c r="Y1380" s="17">
        <v>0.25388229422117298</v>
      </c>
    </row>
    <row r="1381" spans="2:25" x14ac:dyDescent="0.35">
      <c r="B1381" t="s">
        <v>508</v>
      </c>
      <c r="C1381" s="17">
        <v>0.22107152996788601</v>
      </c>
      <c r="D1381" s="17">
        <v>0.202721258259807</v>
      </c>
      <c r="E1381" s="17">
        <v>0.237067853794627</v>
      </c>
      <c r="F1381" s="17"/>
      <c r="G1381" s="17">
        <v>0.13855979384797901</v>
      </c>
      <c r="H1381" s="17">
        <v>0.152143780439249</v>
      </c>
      <c r="I1381" s="17">
        <v>0.16099241393631999</v>
      </c>
      <c r="J1381" s="17">
        <v>0.22058040992724801</v>
      </c>
      <c r="K1381" s="17">
        <v>0.26119962209292902</v>
      </c>
      <c r="L1381" s="17">
        <v>0.30504262513593899</v>
      </c>
      <c r="M1381" s="17"/>
      <c r="N1381" s="17">
        <v>0.22815561494582001</v>
      </c>
      <c r="O1381" s="17">
        <v>9.6121788876766701E-2</v>
      </c>
      <c r="P1381" s="17">
        <v>0.382080290769789</v>
      </c>
      <c r="Q1381" s="17">
        <v>0.22264690962573599</v>
      </c>
      <c r="R1381" s="17">
        <v>0.173911696998066</v>
      </c>
      <c r="S1381" s="17">
        <v>0.21705519779223501</v>
      </c>
      <c r="T1381" s="17">
        <v>0.115472399548293</v>
      </c>
      <c r="U1381" s="17">
        <v>0.23750550318474301</v>
      </c>
      <c r="V1381" s="17">
        <v>0.22522688109035499</v>
      </c>
      <c r="W1381" s="17"/>
      <c r="X1381" s="17">
        <v>0.195846243947358</v>
      </c>
      <c r="Y1381" s="17">
        <v>0.23503035885791501</v>
      </c>
    </row>
    <row r="1382" spans="2:25" x14ac:dyDescent="0.35">
      <c r="B1382" t="s">
        <v>80</v>
      </c>
      <c r="C1382" s="17">
        <v>9.9330960807585897E-2</v>
      </c>
      <c r="D1382" s="17">
        <v>5.95438190363358E-2</v>
      </c>
      <c r="E1382" s="17">
        <v>0.1369081549932</v>
      </c>
      <c r="F1382" s="17"/>
      <c r="G1382" s="17">
        <v>8.3079130528095499E-2</v>
      </c>
      <c r="H1382" s="17">
        <v>5.93645808771672E-2</v>
      </c>
      <c r="I1382" s="17">
        <v>7.2523909070200995E-2</v>
      </c>
      <c r="J1382" s="17">
        <v>0.115102173152365</v>
      </c>
      <c r="K1382" s="17">
        <v>0.11756593754922701</v>
      </c>
      <c r="L1382" s="17">
        <v>0.123454122072494</v>
      </c>
      <c r="M1382" s="17"/>
      <c r="N1382" s="17">
        <v>7.54603691429067E-2</v>
      </c>
      <c r="O1382" s="17">
        <v>4.4286523086818901E-2</v>
      </c>
      <c r="P1382" s="17">
        <v>7.1456453500749403E-2</v>
      </c>
      <c r="Q1382" s="17">
        <v>9.30467818682926E-2</v>
      </c>
      <c r="R1382" s="17">
        <v>8.9429466715699804E-2</v>
      </c>
      <c r="S1382" s="17">
        <v>0.14232126949318999</v>
      </c>
      <c r="T1382" s="17">
        <v>0.16135961343878799</v>
      </c>
      <c r="U1382" s="17">
        <v>5.4008829413257901E-2</v>
      </c>
      <c r="V1382" s="17">
        <v>9.9626805668785498E-2</v>
      </c>
      <c r="W1382" s="17"/>
      <c r="X1382" s="17">
        <v>5.7805396231622903E-2</v>
      </c>
      <c r="Y1382" s="17">
        <v>0.122309818213048</v>
      </c>
    </row>
    <row r="1383" spans="2:25" x14ac:dyDescent="0.35">
      <c r="C1383" s="17"/>
      <c r="D1383" s="17"/>
      <c r="E1383" s="17"/>
      <c r="F1383" s="17"/>
      <c r="G1383" s="17"/>
      <c r="H1383" s="17"/>
      <c r="I1383" s="17"/>
      <c r="J1383" s="17"/>
      <c r="K1383" s="17"/>
      <c r="L1383" s="17"/>
      <c r="M1383" s="17"/>
      <c r="N1383" s="17"/>
      <c r="O1383" s="17"/>
      <c r="P1383" s="17"/>
      <c r="Q1383" s="17"/>
      <c r="R1383" s="17"/>
      <c r="S1383" s="17"/>
      <c r="T1383" s="17"/>
      <c r="U1383" s="17"/>
      <c r="V1383" s="17"/>
      <c r="W1383" s="17"/>
      <c r="X1383" s="17"/>
      <c r="Y1383" s="17"/>
    </row>
    <row r="1384" spans="2:25" x14ac:dyDescent="0.35">
      <c r="B1384" s="6" t="s">
        <v>520</v>
      </c>
      <c r="C1384" s="17"/>
      <c r="D1384" s="17"/>
      <c r="E1384" s="17"/>
      <c r="F1384" s="17"/>
      <c r="G1384" s="17"/>
      <c r="H1384" s="17"/>
      <c r="I1384" s="17"/>
      <c r="J1384" s="17"/>
      <c r="K1384" s="17"/>
      <c r="L1384" s="17"/>
      <c r="M1384" s="17"/>
      <c r="N1384" s="17"/>
      <c r="O1384" s="17"/>
      <c r="P1384" s="17"/>
      <c r="Q1384" s="17"/>
      <c r="R1384" s="17"/>
      <c r="S1384" s="17"/>
      <c r="T1384" s="17"/>
      <c r="U1384" s="17"/>
      <c r="V1384" s="17"/>
      <c r="W1384" s="17"/>
      <c r="X1384" s="17"/>
      <c r="Y1384" s="17"/>
    </row>
    <row r="1385" spans="2:25" x14ac:dyDescent="0.35">
      <c r="B1385" s="24" t="s">
        <v>50</v>
      </c>
      <c r="C1385" s="17"/>
      <c r="D1385" s="17"/>
      <c r="E1385" s="17"/>
      <c r="F1385" s="17"/>
      <c r="G1385" s="17"/>
      <c r="H1385" s="17"/>
      <c r="I1385" s="17"/>
      <c r="J1385" s="17"/>
      <c r="K1385" s="17"/>
      <c r="L1385" s="17"/>
      <c r="M1385" s="17"/>
      <c r="N1385" s="17"/>
      <c r="O1385" s="17"/>
      <c r="P1385" s="17"/>
      <c r="Q1385" s="17"/>
      <c r="R1385" s="17"/>
      <c r="S1385" s="17"/>
      <c r="T1385" s="17"/>
      <c r="U1385" s="17"/>
      <c r="V1385" s="17"/>
      <c r="W1385" s="17"/>
      <c r="X1385" s="17"/>
      <c r="Y1385" s="17"/>
    </row>
    <row r="1386" spans="2:25" x14ac:dyDescent="0.35">
      <c r="B1386" t="s">
        <v>514</v>
      </c>
      <c r="C1386" s="17">
        <v>0.59898491865263903</v>
      </c>
      <c r="D1386" s="17">
        <v>0.59365744514617202</v>
      </c>
      <c r="E1386" s="17">
        <v>0.60437287918276905</v>
      </c>
      <c r="F1386" s="17"/>
      <c r="G1386" s="17">
        <v>0.58881225009805604</v>
      </c>
      <c r="H1386" s="17">
        <v>0.56604700890409798</v>
      </c>
      <c r="I1386" s="17">
        <v>0.54500285993469499</v>
      </c>
      <c r="J1386" s="17">
        <v>0.62979213139984003</v>
      </c>
      <c r="K1386" s="17">
        <v>0.62132805593200602</v>
      </c>
      <c r="L1386" s="17">
        <v>0.62113756592167202</v>
      </c>
      <c r="M1386" s="17"/>
      <c r="N1386" s="17">
        <v>0.59004955090853095</v>
      </c>
      <c r="O1386" s="17">
        <v>0.50899577281195996</v>
      </c>
      <c r="P1386" s="17">
        <v>0.54465055843687404</v>
      </c>
      <c r="Q1386" s="17">
        <v>0.58450458099566205</v>
      </c>
      <c r="R1386" s="17">
        <v>0.63969301988698002</v>
      </c>
      <c r="S1386" s="17">
        <v>0.67391115970457405</v>
      </c>
      <c r="T1386" s="17">
        <v>0.53299724851178498</v>
      </c>
      <c r="U1386" s="17">
        <v>0.63855255989493598</v>
      </c>
      <c r="V1386" s="17">
        <v>0.59669356444341004</v>
      </c>
      <c r="W1386" s="17"/>
      <c r="X1386" s="17">
        <v>0.612969547517624</v>
      </c>
      <c r="Y1386" s="17">
        <v>0.59124629316161204</v>
      </c>
    </row>
    <row r="1387" spans="2:25" x14ac:dyDescent="0.35">
      <c r="B1387" t="s">
        <v>515</v>
      </c>
      <c r="C1387" s="17">
        <v>0.51112006434489399</v>
      </c>
      <c r="D1387" s="17">
        <v>0.54637272072083598</v>
      </c>
      <c r="E1387" s="17">
        <v>0.47770079499780799</v>
      </c>
      <c r="F1387" s="17"/>
      <c r="G1387" s="17">
        <v>0.50279544713399504</v>
      </c>
      <c r="H1387" s="17">
        <v>0.50772378664934903</v>
      </c>
      <c r="I1387" s="17">
        <v>0.52216816141204403</v>
      </c>
      <c r="J1387" s="17">
        <v>0.49595251566627302</v>
      </c>
      <c r="K1387" s="17">
        <v>0.509459084328162</v>
      </c>
      <c r="L1387" s="17">
        <v>0.52059977531627799</v>
      </c>
      <c r="M1387" s="17"/>
      <c r="N1387" s="17">
        <v>0.60563645444660896</v>
      </c>
      <c r="O1387" s="17">
        <v>0.53935565082032699</v>
      </c>
      <c r="P1387" s="17">
        <v>0.344524785747502</v>
      </c>
      <c r="Q1387" s="17">
        <v>0.45786841382218202</v>
      </c>
      <c r="R1387" s="17">
        <v>0.56237656574643502</v>
      </c>
      <c r="S1387" s="17">
        <v>0.50589521230832102</v>
      </c>
      <c r="T1387" s="17">
        <v>0.58509963551208299</v>
      </c>
      <c r="U1387" s="17">
        <v>0.57165240056027999</v>
      </c>
      <c r="V1387" s="17">
        <v>0.54393180710936895</v>
      </c>
      <c r="W1387" s="17"/>
      <c r="X1387" s="17">
        <v>0.53507142062604696</v>
      </c>
      <c r="Y1387" s="17">
        <v>0.49786618552898398</v>
      </c>
    </row>
    <row r="1388" spans="2:25" x14ac:dyDescent="0.35">
      <c r="B1388" t="s">
        <v>516</v>
      </c>
      <c r="C1388" s="17">
        <v>0.34816963643476501</v>
      </c>
      <c r="D1388" s="17">
        <v>0.33867697669521901</v>
      </c>
      <c r="E1388" s="17">
        <v>0.357365732686872</v>
      </c>
      <c r="F1388" s="17"/>
      <c r="G1388" s="17">
        <v>0.34000459711459202</v>
      </c>
      <c r="H1388" s="17">
        <v>0.32167605699101498</v>
      </c>
      <c r="I1388" s="17">
        <v>0.33829749608742399</v>
      </c>
      <c r="J1388" s="17">
        <v>0.34273111511528898</v>
      </c>
      <c r="K1388" s="17">
        <v>0.33402498175451101</v>
      </c>
      <c r="L1388" s="17">
        <v>0.386251236204944</v>
      </c>
      <c r="M1388" s="17"/>
      <c r="N1388" s="17">
        <v>0.37095468773617202</v>
      </c>
      <c r="O1388" s="17">
        <v>0.38237838486394998</v>
      </c>
      <c r="P1388" s="17">
        <v>0.45032200657468102</v>
      </c>
      <c r="Q1388" s="17">
        <v>0.36940285911533399</v>
      </c>
      <c r="R1388" s="17">
        <v>0.31464057004901502</v>
      </c>
      <c r="S1388" s="17">
        <v>0.30967551999142101</v>
      </c>
      <c r="T1388" s="17">
        <v>0.32971790792566502</v>
      </c>
      <c r="U1388" s="17">
        <v>0.30775306752849801</v>
      </c>
      <c r="V1388" s="17">
        <v>0.33947642568110398</v>
      </c>
      <c r="W1388" s="17"/>
      <c r="X1388" s="17">
        <v>0.32092243761455502</v>
      </c>
      <c r="Y1388" s="17">
        <v>0.36324732418642802</v>
      </c>
    </row>
    <row r="1389" spans="2:25" x14ac:dyDescent="0.35">
      <c r="B1389" t="s">
        <v>517</v>
      </c>
      <c r="C1389" s="17">
        <v>0.31910029814025798</v>
      </c>
      <c r="D1389" s="17">
        <v>0.31797550843625899</v>
      </c>
      <c r="E1389" s="17">
        <v>0.32067060758928001</v>
      </c>
      <c r="F1389" s="17"/>
      <c r="G1389" s="17">
        <v>0.36691598130206599</v>
      </c>
      <c r="H1389" s="17">
        <v>0.34773777533674999</v>
      </c>
      <c r="I1389" s="17">
        <v>0.31923186653570501</v>
      </c>
      <c r="J1389" s="17">
        <v>0.299404392807327</v>
      </c>
      <c r="K1389" s="17">
        <v>0.28518397678463397</v>
      </c>
      <c r="L1389" s="17">
        <v>0.32005205380930202</v>
      </c>
      <c r="M1389" s="17"/>
      <c r="N1389" s="17">
        <v>0.33262385730409599</v>
      </c>
      <c r="O1389" s="17">
        <v>0.39006752172598902</v>
      </c>
      <c r="P1389" s="17">
        <v>0.31078513631460403</v>
      </c>
      <c r="Q1389" s="17">
        <v>0.27212173358261998</v>
      </c>
      <c r="R1389" s="17">
        <v>0.240619809189663</v>
      </c>
      <c r="S1389" s="17">
        <v>0.23838716845510799</v>
      </c>
      <c r="T1389" s="17">
        <v>0.33769530941372</v>
      </c>
      <c r="U1389" s="17">
        <v>0.47143742092511898</v>
      </c>
      <c r="V1389" s="17">
        <v>0.38375651312278303</v>
      </c>
      <c r="W1389" s="17"/>
      <c r="X1389" s="17">
        <v>0.38144667702814999</v>
      </c>
      <c r="Y1389" s="17">
        <v>0.28459989905258298</v>
      </c>
    </row>
    <row r="1390" spans="2:25" x14ac:dyDescent="0.35">
      <c r="B1390" t="s">
        <v>518</v>
      </c>
      <c r="C1390" s="17">
        <v>0.20288878906142699</v>
      </c>
      <c r="D1390" s="17">
        <v>0.21646447900003901</v>
      </c>
      <c r="E1390" s="17">
        <v>0.18951034494996999</v>
      </c>
      <c r="F1390" s="17"/>
      <c r="G1390" s="17">
        <v>0.28761542704085502</v>
      </c>
      <c r="H1390" s="17">
        <v>0.25357893386292601</v>
      </c>
      <c r="I1390" s="17">
        <v>0.226286317685439</v>
      </c>
      <c r="J1390" s="17">
        <v>0.183260702472056</v>
      </c>
      <c r="K1390" s="17">
        <v>0.15772585408015999</v>
      </c>
      <c r="L1390" s="17">
        <v>0.16948178757847099</v>
      </c>
      <c r="M1390" s="17"/>
      <c r="N1390" s="17">
        <v>0.21419379924711399</v>
      </c>
      <c r="O1390" s="17">
        <v>0.15484159612929499</v>
      </c>
      <c r="P1390" s="17">
        <v>0.22204010085970599</v>
      </c>
      <c r="Q1390" s="17">
        <v>0.21699011709758401</v>
      </c>
      <c r="R1390" s="17">
        <v>0.180393971178965</v>
      </c>
      <c r="S1390" s="17">
        <v>0.18696531753588899</v>
      </c>
      <c r="T1390" s="17">
        <v>0.22041540730258299</v>
      </c>
      <c r="U1390" s="17">
        <v>0.205538138660668</v>
      </c>
      <c r="V1390" s="17">
        <v>0.183805308867388</v>
      </c>
      <c r="W1390" s="17"/>
      <c r="X1390" s="17">
        <v>0.20701034882077901</v>
      </c>
      <c r="Y1390" s="17">
        <v>0.200608055856102</v>
      </c>
    </row>
    <row r="1391" spans="2:25" x14ac:dyDescent="0.35">
      <c r="B1391" t="s">
        <v>519</v>
      </c>
      <c r="C1391" s="17">
        <v>0.113113739241003</v>
      </c>
      <c r="D1391" s="17">
        <v>0.13794658738187601</v>
      </c>
      <c r="E1391" s="17">
        <v>8.9216285938310505E-2</v>
      </c>
      <c r="F1391" s="17"/>
      <c r="G1391" s="17">
        <v>0.19915304618292201</v>
      </c>
      <c r="H1391" s="17">
        <v>0.152940554138111</v>
      </c>
      <c r="I1391" s="17">
        <v>0.149850950514274</v>
      </c>
      <c r="J1391" s="17">
        <v>9.0327334101598197E-2</v>
      </c>
      <c r="K1391" s="17">
        <v>8.4831526016121803E-2</v>
      </c>
      <c r="L1391" s="17">
        <v>6.8139400136184899E-2</v>
      </c>
      <c r="M1391" s="17"/>
      <c r="N1391" s="17">
        <v>7.4437211773126802E-2</v>
      </c>
      <c r="O1391" s="17">
        <v>9.0331013088436607E-2</v>
      </c>
      <c r="P1391" s="17">
        <v>0.134674166877393</v>
      </c>
      <c r="Q1391" s="17">
        <v>0.13219951203845001</v>
      </c>
      <c r="R1391" s="17">
        <v>0.12770102205601999</v>
      </c>
      <c r="S1391" s="17">
        <v>9.7035487409186105E-2</v>
      </c>
      <c r="T1391" s="17">
        <v>0.105050942506867</v>
      </c>
      <c r="U1391" s="17">
        <v>9.5253799938800093E-2</v>
      </c>
      <c r="V1391" s="17">
        <v>0.111970932927693</v>
      </c>
      <c r="W1391" s="17"/>
      <c r="X1391" s="17">
        <v>0.14274447542450999</v>
      </c>
      <c r="Y1391" s="17">
        <v>9.6717081699257801E-2</v>
      </c>
    </row>
    <row r="1392" spans="2:25" x14ac:dyDescent="0.35">
      <c r="B1392" t="s">
        <v>68</v>
      </c>
      <c r="C1392" s="17">
        <v>1.31773908677762E-2</v>
      </c>
      <c r="D1392" s="17">
        <v>1.8268369259664401E-2</v>
      </c>
      <c r="E1392" s="17">
        <v>8.4374689378071601E-3</v>
      </c>
      <c r="F1392" s="17"/>
      <c r="G1392" s="17">
        <v>5.01528551404881E-3</v>
      </c>
      <c r="H1392" s="17">
        <v>8.0596414862695708E-3</v>
      </c>
      <c r="I1392" s="17">
        <v>1.53812040787901E-2</v>
      </c>
      <c r="J1392" s="17">
        <v>1.45435502811831E-2</v>
      </c>
      <c r="K1392" s="17">
        <v>1.7802444568720099E-2</v>
      </c>
      <c r="L1392" s="17">
        <v>1.3853016888047199E-2</v>
      </c>
      <c r="M1392" s="17"/>
      <c r="N1392" s="17">
        <v>1.4095418223155199E-2</v>
      </c>
      <c r="O1392" s="17">
        <v>1.8872129770828101E-2</v>
      </c>
      <c r="P1392" s="17">
        <v>9.5859777744165993E-3</v>
      </c>
      <c r="Q1392" s="17">
        <v>2.2629210872944901E-2</v>
      </c>
      <c r="R1392" s="17">
        <v>9.1171503526246093E-3</v>
      </c>
      <c r="S1392" s="17">
        <v>1.78158714933839E-2</v>
      </c>
      <c r="T1392" s="17">
        <v>9.6517940503167508E-3</v>
      </c>
      <c r="U1392" s="17">
        <v>1.3265663890356201E-2</v>
      </c>
      <c r="V1392" s="17">
        <v>2.52284241425931E-3</v>
      </c>
      <c r="W1392" s="17"/>
      <c r="X1392" s="17">
        <v>1.7301229542349601E-2</v>
      </c>
      <c r="Y1392" s="17">
        <v>1.0895396587053E-2</v>
      </c>
    </row>
    <row r="1393" spans="2:25" x14ac:dyDescent="0.35">
      <c r="B1393" t="s">
        <v>80</v>
      </c>
      <c r="C1393" s="17">
        <v>0.115917744978868</v>
      </c>
      <c r="D1393" s="17">
        <v>8.8936191860571903E-2</v>
      </c>
      <c r="E1393" s="17">
        <v>0.14178202963489001</v>
      </c>
      <c r="F1393" s="17"/>
      <c r="G1393" s="17">
        <v>6.4424139148286097E-2</v>
      </c>
      <c r="H1393" s="17">
        <v>8.8428921070189001E-2</v>
      </c>
      <c r="I1393" s="17">
        <v>0.10604973981539099</v>
      </c>
      <c r="J1393" s="17">
        <v>0.130393230783901</v>
      </c>
      <c r="K1393" s="17">
        <v>0.14235789529454501</v>
      </c>
      <c r="L1393" s="17">
        <v>0.13038852359415301</v>
      </c>
      <c r="M1393" s="17"/>
      <c r="N1393" s="17">
        <v>9.1621688635268497E-2</v>
      </c>
      <c r="O1393" s="17">
        <v>0.134179448815682</v>
      </c>
      <c r="P1393" s="17">
        <v>0.131344666663743</v>
      </c>
      <c r="Q1393" s="17">
        <v>0.12507632675944499</v>
      </c>
      <c r="R1393" s="17">
        <v>0.10379900816809701</v>
      </c>
      <c r="S1393" s="17">
        <v>0.13225515971548901</v>
      </c>
      <c r="T1393" s="17">
        <v>0.11130541124547</v>
      </c>
      <c r="U1393" s="17">
        <v>9.1820459895784801E-2</v>
      </c>
      <c r="V1393" s="17">
        <v>0.119430406684351</v>
      </c>
      <c r="W1393" s="17"/>
      <c r="X1393" s="17">
        <v>8.2688951114234105E-2</v>
      </c>
      <c r="Y1393" s="17">
        <v>0.13430544719960799</v>
      </c>
    </row>
    <row r="1394" spans="2:25" x14ac:dyDescent="0.35">
      <c r="C1394" s="17"/>
      <c r="D1394" s="17"/>
      <c r="E1394" s="17"/>
      <c r="F1394" s="17"/>
      <c r="G1394" s="17"/>
      <c r="H1394" s="17"/>
      <c r="I1394" s="17"/>
      <c r="J1394" s="17"/>
      <c r="K1394" s="17"/>
      <c r="L1394" s="17"/>
      <c r="M1394" s="17"/>
      <c r="N1394" s="17"/>
      <c r="O1394" s="17"/>
      <c r="P1394" s="17"/>
      <c r="Q1394" s="17"/>
      <c r="R1394" s="17"/>
      <c r="S1394" s="17"/>
      <c r="T1394" s="17"/>
      <c r="U1394" s="17"/>
      <c r="V1394" s="17"/>
      <c r="W1394" s="17"/>
      <c r="X1394" s="17"/>
      <c r="Y1394" s="17"/>
    </row>
    <row r="1395" spans="2:25" x14ac:dyDescent="0.35">
      <c r="B1395" s="6" t="s">
        <v>521</v>
      </c>
      <c r="C1395" s="17"/>
      <c r="D1395" s="17"/>
      <c r="E1395" s="17"/>
      <c r="F1395" s="17"/>
      <c r="G1395" s="17"/>
      <c r="H1395" s="17"/>
      <c r="I1395" s="17"/>
      <c r="J1395" s="17"/>
      <c r="K1395" s="17"/>
      <c r="L1395" s="17"/>
      <c r="M1395" s="17"/>
      <c r="N1395" s="17"/>
      <c r="O1395" s="17"/>
      <c r="P1395" s="17"/>
      <c r="Q1395" s="17"/>
      <c r="R1395" s="17"/>
      <c r="S1395" s="17"/>
      <c r="T1395" s="17"/>
      <c r="U1395" s="17"/>
      <c r="V1395" s="17"/>
      <c r="W1395" s="17"/>
      <c r="X1395" s="17"/>
      <c r="Y1395" s="17"/>
    </row>
    <row r="1396" spans="2:25" x14ac:dyDescent="0.35">
      <c r="B1396" s="24" t="s">
        <v>50</v>
      </c>
      <c r="C1396" s="17"/>
      <c r="D1396" s="17"/>
      <c r="E1396" s="17"/>
      <c r="F1396" s="17"/>
      <c r="G1396" s="17"/>
      <c r="H1396" s="17"/>
      <c r="I1396" s="17"/>
      <c r="J1396" s="17"/>
      <c r="K1396" s="17"/>
      <c r="L1396" s="17"/>
      <c r="M1396" s="17"/>
      <c r="N1396" s="17"/>
      <c r="O1396" s="17"/>
      <c r="P1396" s="17"/>
      <c r="Q1396" s="17"/>
      <c r="R1396" s="17"/>
      <c r="S1396" s="17"/>
      <c r="T1396" s="17"/>
      <c r="U1396" s="17"/>
      <c r="V1396" s="17"/>
      <c r="W1396" s="17"/>
      <c r="X1396" s="17"/>
      <c r="Y1396" s="17"/>
    </row>
    <row r="1397" spans="2:25" x14ac:dyDescent="0.35">
      <c r="B1397" t="s">
        <v>276</v>
      </c>
      <c r="C1397" s="17">
        <v>0.30838095006319299</v>
      </c>
      <c r="D1397" s="17">
        <v>0.29917726530382599</v>
      </c>
      <c r="E1397" s="17">
        <v>0.31746872763719503</v>
      </c>
      <c r="F1397" s="17"/>
      <c r="G1397" s="17">
        <v>0.24827134575752499</v>
      </c>
      <c r="H1397" s="17">
        <v>0.27673157467014797</v>
      </c>
      <c r="I1397" s="17">
        <v>0.28465437925887199</v>
      </c>
      <c r="J1397" s="17">
        <v>0.302276539719399</v>
      </c>
      <c r="K1397" s="17">
        <v>0.32673070783657998</v>
      </c>
      <c r="L1397" s="17">
        <v>0.356799247098743</v>
      </c>
      <c r="M1397" s="17"/>
      <c r="N1397" s="17">
        <v>0.33257756138808098</v>
      </c>
      <c r="O1397" s="17">
        <v>0.39690101189772298</v>
      </c>
      <c r="P1397" s="17">
        <v>0.38883226395568998</v>
      </c>
      <c r="Q1397" s="17">
        <v>0.33167995025165598</v>
      </c>
      <c r="R1397" s="17">
        <v>0.23950861305739801</v>
      </c>
      <c r="S1397" s="17">
        <v>0.23242221907477201</v>
      </c>
      <c r="T1397" s="17">
        <v>0.26171204241241403</v>
      </c>
      <c r="U1397" s="17">
        <v>0.37353378892780398</v>
      </c>
      <c r="V1397" s="17">
        <v>0.30900859909273198</v>
      </c>
      <c r="W1397" s="17"/>
      <c r="X1397" s="17">
        <v>0.31863644648964401</v>
      </c>
      <c r="Y1397" s="17">
        <v>0.302705901634302</v>
      </c>
    </row>
    <row r="1398" spans="2:25" x14ac:dyDescent="0.35">
      <c r="B1398" t="s">
        <v>277</v>
      </c>
      <c r="C1398" s="17">
        <v>0.39511160193154099</v>
      </c>
      <c r="D1398" s="17">
        <v>0.41702849192921898</v>
      </c>
      <c r="E1398" s="17">
        <v>0.37485100693714202</v>
      </c>
      <c r="F1398" s="17"/>
      <c r="G1398" s="17">
        <v>0.433532463994666</v>
      </c>
      <c r="H1398" s="17">
        <v>0.42185612416392199</v>
      </c>
      <c r="I1398" s="17">
        <v>0.40076982029165698</v>
      </c>
      <c r="J1398" s="17">
        <v>0.39109635756348998</v>
      </c>
      <c r="K1398" s="17">
        <v>0.36412994327085302</v>
      </c>
      <c r="L1398" s="17">
        <v>0.38448811050329101</v>
      </c>
      <c r="M1398" s="17"/>
      <c r="N1398" s="17">
        <v>0.40479500074849301</v>
      </c>
      <c r="O1398" s="17">
        <v>0.406901327359733</v>
      </c>
      <c r="P1398" s="17">
        <v>0.39409361341560101</v>
      </c>
      <c r="Q1398" s="17">
        <v>0.41152842942402901</v>
      </c>
      <c r="R1398" s="17">
        <v>0.46735262680254502</v>
      </c>
      <c r="S1398" s="17">
        <v>0.38242871295139802</v>
      </c>
      <c r="T1398" s="17">
        <v>0.41179144484740798</v>
      </c>
      <c r="U1398" s="17">
        <v>0.29707174761449601</v>
      </c>
      <c r="V1398" s="17">
        <v>0.401053117063288</v>
      </c>
      <c r="W1398" s="17"/>
      <c r="X1398" s="17">
        <v>0.404482003942222</v>
      </c>
      <c r="Y1398" s="17">
        <v>0.38992633512459801</v>
      </c>
    </row>
    <row r="1399" spans="2:25" x14ac:dyDescent="0.35">
      <c r="B1399" t="s">
        <v>278</v>
      </c>
      <c r="C1399" s="17">
        <v>0.17813521489842499</v>
      </c>
      <c r="D1399" s="17">
        <v>0.18710654646628799</v>
      </c>
      <c r="E1399" s="17">
        <v>0.16973956244715399</v>
      </c>
      <c r="F1399" s="17"/>
      <c r="G1399" s="17">
        <v>0.226671907712857</v>
      </c>
      <c r="H1399" s="17">
        <v>0.20976080223975299</v>
      </c>
      <c r="I1399" s="17">
        <v>0.204643083291874</v>
      </c>
      <c r="J1399" s="17">
        <v>0.175673138606802</v>
      </c>
      <c r="K1399" s="17">
        <v>0.16358614791880299</v>
      </c>
      <c r="L1399" s="17">
        <v>0.135605961756049</v>
      </c>
      <c r="M1399" s="17"/>
      <c r="N1399" s="17">
        <v>0.14452225120710899</v>
      </c>
      <c r="O1399" s="17">
        <v>0.102745974844203</v>
      </c>
      <c r="P1399" s="17">
        <v>0.113081802350789</v>
      </c>
      <c r="Q1399" s="17">
        <v>0.164139247205219</v>
      </c>
      <c r="R1399" s="17">
        <v>0.18071302119386701</v>
      </c>
      <c r="S1399" s="17">
        <v>0.211128244940226</v>
      </c>
      <c r="T1399" s="17">
        <v>0.21584948966478201</v>
      </c>
      <c r="U1399" s="17">
        <v>0.20971945232099601</v>
      </c>
      <c r="V1399" s="17">
        <v>0.16757679090438499</v>
      </c>
      <c r="W1399" s="17"/>
      <c r="X1399" s="17">
        <v>0.18042176983806901</v>
      </c>
      <c r="Y1399" s="17">
        <v>0.176869911935193</v>
      </c>
    </row>
    <row r="1400" spans="2:25" x14ac:dyDescent="0.35">
      <c r="B1400" t="s">
        <v>279</v>
      </c>
      <c r="C1400" s="17">
        <v>2.2242902036425101E-2</v>
      </c>
      <c r="D1400" s="17">
        <v>2.9437951914749402E-2</v>
      </c>
      <c r="E1400" s="17">
        <v>1.5325710251269499E-2</v>
      </c>
      <c r="F1400" s="17"/>
      <c r="G1400" s="17">
        <v>3.7963935539749E-2</v>
      </c>
      <c r="H1400" s="17">
        <v>2.2447623008325202E-2</v>
      </c>
      <c r="I1400" s="17">
        <v>2.62469927483166E-2</v>
      </c>
      <c r="J1400" s="17">
        <v>2.2637736119538E-2</v>
      </c>
      <c r="K1400" s="17">
        <v>2.2021271286677298E-2</v>
      </c>
      <c r="L1400" s="17">
        <v>1.35788164202448E-2</v>
      </c>
      <c r="M1400" s="17"/>
      <c r="N1400" s="17">
        <v>3.2019773416243798E-2</v>
      </c>
      <c r="O1400" s="17">
        <v>2.3488271209631598E-2</v>
      </c>
      <c r="P1400" s="17">
        <v>1.70499946646674E-2</v>
      </c>
      <c r="Q1400" s="17">
        <v>1.97886974799911E-2</v>
      </c>
      <c r="R1400" s="17">
        <v>1.8482224385963201E-2</v>
      </c>
      <c r="S1400" s="17">
        <v>3.8385438741170202E-2</v>
      </c>
      <c r="T1400" s="17">
        <v>1.2528289070257E-2</v>
      </c>
      <c r="U1400" s="17">
        <v>2.2619117138023101E-2</v>
      </c>
      <c r="V1400" s="17">
        <v>2.79347912562708E-2</v>
      </c>
      <c r="W1400" s="17"/>
      <c r="X1400" s="17">
        <v>2.7503839640191902E-2</v>
      </c>
      <c r="Y1400" s="17">
        <v>1.93316752716488E-2</v>
      </c>
    </row>
    <row r="1401" spans="2:25" x14ac:dyDescent="0.35">
      <c r="B1401" t="s">
        <v>280</v>
      </c>
      <c r="C1401" s="17">
        <v>1.3992152284001899E-2</v>
      </c>
      <c r="D1401" s="17">
        <v>1.61374846804807E-2</v>
      </c>
      <c r="E1401" s="17">
        <v>1.1772199086749599E-2</v>
      </c>
      <c r="F1401" s="17"/>
      <c r="G1401" s="17">
        <v>6.4621187099524599E-3</v>
      </c>
      <c r="H1401" s="17">
        <v>1.18038360481106E-2</v>
      </c>
      <c r="I1401" s="17">
        <v>1.7142241861311299E-2</v>
      </c>
      <c r="J1401" s="17">
        <v>1.1675186555018899E-2</v>
      </c>
      <c r="K1401" s="17">
        <v>1.13417934496929E-2</v>
      </c>
      <c r="L1401" s="17">
        <v>1.93970604122332E-2</v>
      </c>
      <c r="M1401" s="17"/>
      <c r="N1401" s="17">
        <v>9.1836230564529796E-3</v>
      </c>
      <c r="O1401" s="17">
        <v>3.5130108547229699E-3</v>
      </c>
      <c r="P1401" s="17">
        <v>5.6778249154209003E-3</v>
      </c>
      <c r="Q1401" s="17">
        <v>1.4339163697848699E-2</v>
      </c>
      <c r="R1401" s="17">
        <v>1.42577029583479E-2</v>
      </c>
      <c r="S1401" s="17">
        <v>2.9708137488623401E-2</v>
      </c>
      <c r="T1401" s="17">
        <v>1.74091528703984E-2</v>
      </c>
      <c r="U1401" s="17">
        <v>1.04281723065598E-2</v>
      </c>
      <c r="V1401" s="17">
        <v>2.0279009979132399E-3</v>
      </c>
      <c r="W1401" s="17"/>
      <c r="X1401" s="17">
        <v>1.30218019269408E-2</v>
      </c>
      <c r="Y1401" s="17">
        <v>1.4529111689995201E-2</v>
      </c>
    </row>
    <row r="1402" spans="2:25" x14ac:dyDescent="0.35">
      <c r="B1402" t="s">
        <v>224</v>
      </c>
      <c r="C1402" s="17">
        <v>8.2137178786414106E-2</v>
      </c>
      <c r="D1402" s="17">
        <v>5.1112259705437299E-2</v>
      </c>
      <c r="E1402" s="17">
        <v>0.110842793640491</v>
      </c>
      <c r="F1402" s="17"/>
      <c r="G1402" s="17">
        <v>4.7098228285250503E-2</v>
      </c>
      <c r="H1402" s="17">
        <v>5.74000398697413E-2</v>
      </c>
      <c r="I1402" s="17">
        <v>6.6543482547968894E-2</v>
      </c>
      <c r="J1402" s="17">
        <v>9.6641041435751696E-2</v>
      </c>
      <c r="K1402" s="17">
        <v>0.112190136237394</v>
      </c>
      <c r="L1402" s="17">
        <v>9.0130803809438303E-2</v>
      </c>
      <c r="M1402" s="17"/>
      <c r="N1402" s="17">
        <v>7.6901790183620505E-2</v>
      </c>
      <c r="O1402" s="17">
        <v>6.6450403833985899E-2</v>
      </c>
      <c r="P1402" s="17">
        <v>8.1264500697831296E-2</v>
      </c>
      <c r="Q1402" s="17">
        <v>5.85245119412557E-2</v>
      </c>
      <c r="R1402" s="17">
        <v>7.9685811601878806E-2</v>
      </c>
      <c r="S1402" s="17">
        <v>0.10592724680380999</v>
      </c>
      <c r="T1402" s="17">
        <v>8.0709581134741595E-2</v>
      </c>
      <c r="U1402" s="17">
        <v>8.6627721692120699E-2</v>
      </c>
      <c r="V1402" s="17">
        <v>9.2398800685411203E-2</v>
      </c>
      <c r="W1402" s="17"/>
      <c r="X1402" s="17">
        <v>5.5934138162932003E-2</v>
      </c>
      <c r="Y1402" s="17">
        <v>9.6637064344262905E-2</v>
      </c>
    </row>
    <row r="1403" spans="2:25" x14ac:dyDescent="0.35">
      <c r="B1403" t="s">
        <v>281</v>
      </c>
      <c r="C1403" s="17">
        <v>0.70349255199473404</v>
      </c>
      <c r="D1403" s="17">
        <v>0.71620575723304403</v>
      </c>
      <c r="E1403" s="17">
        <v>0.69231973457433604</v>
      </c>
      <c r="F1403" s="17"/>
      <c r="G1403" s="17">
        <v>0.68180380975219101</v>
      </c>
      <c r="H1403" s="17">
        <v>0.69858769883407001</v>
      </c>
      <c r="I1403" s="17">
        <v>0.68542419955052902</v>
      </c>
      <c r="J1403" s="17">
        <v>0.69337289728288898</v>
      </c>
      <c r="K1403" s="17">
        <v>0.690860651107433</v>
      </c>
      <c r="L1403" s="17">
        <v>0.74128735760203401</v>
      </c>
      <c r="M1403" s="17"/>
      <c r="N1403" s="17">
        <v>0.73737256213657398</v>
      </c>
      <c r="O1403" s="17">
        <v>0.80380233925745603</v>
      </c>
      <c r="P1403" s="17">
        <v>0.78292587737129105</v>
      </c>
      <c r="Q1403" s="17">
        <v>0.74320837967568498</v>
      </c>
      <c r="R1403" s="17">
        <v>0.70686123985994298</v>
      </c>
      <c r="S1403" s="17">
        <v>0.61485093202617003</v>
      </c>
      <c r="T1403" s="17">
        <v>0.67350348725982101</v>
      </c>
      <c r="U1403" s="17">
        <v>0.67060553654230004</v>
      </c>
      <c r="V1403" s="17">
        <v>0.71006171615601898</v>
      </c>
      <c r="W1403" s="17"/>
      <c r="X1403" s="17">
        <v>0.72311845043186596</v>
      </c>
      <c r="Y1403" s="17">
        <v>0.69263223675889996</v>
      </c>
    </row>
    <row r="1404" spans="2:25" x14ac:dyDescent="0.35">
      <c r="B1404" t="s">
        <v>282</v>
      </c>
      <c r="C1404" s="17">
        <v>3.6235054320427E-2</v>
      </c>
      <c r="D1404" s="17">
        <v>4.5575436595230098E-2</v>
      </c>
      <c r="E1404" s="17">
        <v>2.7097909338019002E-2</v>
      </c>
      <c r="F1404" s="17"/>
      <c r="G1404" s="17">
        <v>4.4426054249701502E-2</v>
      </c>
      <c r="H1404" s="17">
        <v>3.4251459056435903E-2</v>
      </c>
      <c r="I1404" s="17">
        <v>4.3389234609627902E-2</v>
      </c>
      <c r="J1404" s="17">
        <v>3.4312922674556899E-2</v>
      </c>
      <c r="K1404" s="17">
        <v>3.3363064736370199E-2</v>
      </c>
      <c r="L1404" s="17">
        <v>3.2975876832477997E-2</v>
      </c>
      <c r="M1404" s="17"/>
      <c r="N1404" s="17">
        <v>4.1203396472696802E-2</v>
      </c>
      <c r="O1404" s="17">
        <v>2.7001282064354499E-2</v>
      </c>
      <c r="P1404" s="17">
        <v>2.27278195800883E-2</v>
      </c>
      <c r="Q1404" s="17">
        <v>3.4127861177839697E-2</v>
      </c>
      <c r="R1404" s="17">
        <v>3.2739927344311102E-2</v>
      </c>
      <c r="S1404" s="17">
        <v>6.8093576229793604E-2</v>
      </c>
      <c r="T1404" s="17">
        <v>2.9937441940655399E-2</v>
      </c>
      <c r="U1404" s="17">
        <v>3.3047289444582899E-2</v>
      </c>
      <c r="V1404" s="17">
        <v>2.9962692254183999E-2</v>
      </c>
      <c r="W1404" s="17"/>
      <c r="X1404" s="17">
        <v>4.0525641567132703E-2</v>
      </c>
      <c r="Y1404" s="17">
        <v>3.3860786961643997E-2</v>
      </c>
    </row>
    <row r="1405" spans="2:25" x14ac:dyDescent="0.35">
      <c r="B1405" t="s">
        <v>92</v>
      </c>
      <c r="C1405" s="17">
        <v>0.66725749767430698</v>
      </c>
      <c r="D1405" s="17">
        <v>0.67063032063781403</v>
      </c>
      <c r="E1405" s="17">
        <v>0.66522182523631701</v>
      </c>
      <c r="F1405" s="17"/>
      <c r="G1405" s="17">
        <v>0.63737775550248998</v>
      </c>
      <c r="H1405" s="17">
        <v>0.66433623977763401</v>
      </c>
      <c r="I1405" s="17">
        <v>0.64203496494090095</v>
      </c>
      <c r="J1405" s="17">
        <v>0.65905997460833199</v>
      </c>
      <c r="K1405" s="17">
        <v>0.65749758637106304</v>
      </c>
      <c r="L1405" s="17">
        <v>0.70831148076955597</v>
      </c>
      <c r="M1405" s="17"/>
      <c r="N1405" s="17">
        <v>0.69616916566387699</v>
      </c>
      <c r="O1405" s="17">
        <v>0.776801057193102</v>
      </c>
      <c r="P1405" s="17">
        <v>0.76019805779120297</v>
      </c>
      <c r="Q1405" s="17">
        <v>0.70908051849784504</v>
      </c>
      <c r="R1405" s="17">
        <v>0.67412131251563201</v>
      </c>
      <c r="S1405" s="17">
        <v>0.54675735579637696</v>
      </c>
      <c r="T1405" s="17">
        <v>0.64356604531916595</v>
      </c>
      <c r="U1405" s="17">
        <v>0.63755824709771702</v>
      </c>
      <c r="V1405" s="17">
        <v>0.68009902390183496</v>
      </c>
      <c r="W1405" s="17"/>
      <c r="X1405" s="17">
        <v>0.68259280886473395</v>
      </c>
      <c r="Y1405" s="17">
        <v>0.65877144979725599</v>
      </c>
    </row>
    <row r="1406" spans="2:25" x14ac:dyDescent="0.35">
      <c r="C1406" s="17"/>
      <c r="D1406" s="17"/>
      <c r="E1406" s="17"/>
      <c r="F1406" s="17"/>
      <c r="G1406" s="17"/>
      <c r="H1406" s="17"/>
      <c r="I1406" s="17"/>
      <c r="J1406" s="17"/>
      <c r="K1406" s="17"/>
      <c r="L1406" s="17"/>
      <c r="M1406" s="17"/>
      <c r="N1406" s="17"/>
      <c r="O1406" s="17"/>
      <c r="P1406" s="17"/>
      <c r="Q1406" s="17"/>
      <c r="R1406" s="17"/>
      <c r="S1406" s="17"/>
      <c r="T1406" s="17"/>
      <c r="U1406" s="17"/>
      <c r="V1406" s="17"/>
      <c r="W1406" s="17"/>
      <c r="X1406" s="17"/>
      <c r="Y1406" s="17"/>
    </row>
    <row r="1407" spans="2:25" x14ac:dyDescent="0.35">
      <c r="B1407" s="6" t="s">
        <v>522</v>
      </c>
      <c r="C1407" s="17"/>
      <c r="D1407" s="17"/>
      <c r="E1407" s="17"/>
      <c r="F1407" s="17"/>
      <c r="G1407" s="17"/>
      <c r="H1407" s="17"/>
      <c r="I1407" s="17"/>
      <c r="J1407" s="17"/>
      <c r="K1407" s="17"/>
      <c r="L1407" s="17"/>
      <c r="M1407" s="17"/>
      <c r="N1407" s="17"/>
      <c r="O1407" s="17"/>
      <c r="P1407" s="17"/>
      <c r="Q1407" s="17"/>
      <c r="R1407" s="17"/>
      <c r="S1407" s="17"/>
      <c r="T1407" s="17"/>
      <c r="U1407" s="17"/>
      <c r="V1407" s="17"/>
      <c r="W1407" s="17"/>
      <c r="X1407" s="17"/>
      <c r="Y1407" s="17"/>
    </row>
    <row r="1408" spans="2:25" x14ac:dyDescent="0.35">
      <c r="B1408" s="33" t="s">
        <v>50</v>
      </c>
      <c r="C1408" s="17"/>
      <c r="D1408" s="17"/>
      <c r="E1408" s="17"/>
      <c r="F1408" s="17"/>
      <c r="G1408" s="17"/>
      <c r="H1408" s="17"/>
      <c r="I1408" s="17"/>
      <c r="J1408" s="17"/>
      <c r="K1408" s="17"/>
      <c r="L1408" s="17"/>
      <c r="M1408" s="17"/>
      <c r="N1408" s="17"/>
      <c r="O1408" s="17"/>
      <c r="P1408" s="17"/>
      <c r="Q1408" s="17"/>
      <c r="R1408" s="17"/>
      <c r="S1408" s="17"/>
      <c r="T1408" s="17"/>
      <c r="U1408" s="17"/>
      <c r="V1408" s="17"/>
      <c r="W1408" s="17"/>
      <c r="X1408" s="17"/>
      <c r="Y1408" s="17"/>
    </row>
    <row r="1409" spans="2:25" x14ac:dyDescent="0.35">
      <c r="B1409" t="s">
        <v>276</v>
      </c>
      <c r="C1409" s="17">
        <v>0.18024074405099699</v>
      </c>
      <c r="D1409" s="17">
        <v>0.19976857031447401</v>
      </c>
      <c r="E1409" s="17">
        <v>0.162292243592839</v>
      </c>
      <c r="F1409" s="17"/>
      <c r="G1409" s="17">
        <v>0.17654001517328999</v>
      </c>
      <c r="H1409" s="17">
        <v>0.180301837745629</v>
      </c>
      <c r="I1409" s="17">
        <v>0.189017730930996</v>
      </c>
      <c r="J1409" s="17">
        <v>0.155090757930441</v>
      </c>
      <c r="K1409" s="17">
        <v>0.17319445627925101</v>
      </c>
      <c r="L1409" s="17">
        <v>0.19778597998762101</v>
      </c>
      <c r="M1409" s="17"/>
      <c r="N1409" s="17">
        <v>0.32073624706521597</v>
      </c>
      <c r="O1409" s="17">
        <v>0.16124850841837801</v>
      </c>
      <c r="P1409" s="17">
        <v>0.201174231181135</v>
      </c>
      <c r="Q1409" s="17">
        <v>0.16710280126448199</v>
      </c>
      <c r="R1409" s="17">
        <v>0.119891469557363</v>
      </c>
      <c r="S1409" s="17">
        <v>0.138936207128905</v>
      </c>
      <c r="T1409" s="17">
        <v>0.214655766710103</v>
      </c>
      <c r="U1409" s="17">
        <v>0.21726241678752201</v>
      </c>
      <c r="V1409" s="17">
        <v>0.172831652000353</v>
      </c>
      <c r="W1409" s="17"/>
      <c r="X1409" s="17">
        <v>0.20802020618811801</v>
      </c>
      <c r="Y1409" s="17">
        <v>0.164865074382751</v>
      </c>
    </row>
    <row r="1410" spans="2:25" x14ac:dyDescent="0.35">
      <c r="B1410" t="s">
        <v>277</v>
      </c>
      <c r="C1410" s="17">
        <v>0.37656681346291399</v>
      </c>
      <c r="D1410" s="17">
        <v>0.39515860181149498</v>
      </c>
      <c r="E1410" s="17">
        <v>0.35937443170640399</v>
      </c>
      <c r="F1410" s="17"/>
      <c r="G1410" s="17">
        <v>0.410002613560145</v>
      </c>
      <c r="H1410" s="17">
        <v>0.39740959406564802</v>
      </c>
      <c r="I1410" s="17">
        <v>0.38527555381352002</v>
      </c>
      <c r="J1410" s="17">
        <v>0.38519286276414899</v>
      </c>
      <c r="K1410" s="17">
        <v>0.34502834506234298</v>
      </c>
      <c r="L1410" s="17">
        <v>0.36105472942863198</v>
      </c>
      <c r="M1410" s="17"/>
      <c r="N1410" s="17">
        <v>0.39142314276850798</v>
      </c>
      <c r="O1410" s="17">
        <v>0.40970823702091502</v>
      </c>
      <c r="P1410" s="17">
        <v>0.39982023392463301</v>
      </c>
      <c r="Q1410" s="17">
        <v>0.35250556278961598</v>
      </c>
      <c r="R1410" s="17">
        <v>0.38373656871825601</v>
      </c>
      <c r="S1410" s="17">
        <v>0.34914637677628702</v>
      </c>
      <c r="T1410" s="17">
        <v>0.40512330485848203</v>
      </c>
      <c r="U1410" s="17">
        <v>0.34762834898514</v>
      </c>
      <c r="V1410" s="17">
        <v>0.40586455894850798</v>
      </c>
      <c r="W1410" s="17"/>
      <c r="X1410" s="17">
        <v>0.42526627409665202</v>
      </c>
      <c r="Y1410" s="17">
        <v>0.34961212240265999</v>
      </c>
    </row>
    <row r="1411" spans="2:25" x14ac:dyDescent="0.35">
      <c r="B1411" t="s">
        <v>278</v>
      </c>
      <c r="C1411" s="17">
        <v>0.25894634660668597</v>
      </c>
      <c r="D1411" s="17">
        <v>0.26406978463816499</v>
      </c>
      <c r="E1411" s="17">
        <v>0.25481985507608601</v>
      </c>
      <c r="F1411" s="17"/>
      <c r="G1411" s="17">
        <v>0.280584172837825</v>
      </c>
      <c r="H1411" s="17">
        <v>0.281085388686449</v>
      </c>
      <c r="I1411" s="17">
        <v>0.259176594549405</v>
      </c>
      <c r="J1411" s="17">
        <v>0.26103710457114299</v>
      </c>
      <c r="K1411" s="17">
        <v>0.25957842930843</v>
      </c>
      <c r="L1411" s="17">
        <v>0.23578227093346099</v>
      </c>
      <c r="M1411" s="17"/>
      <c r="N1411" s="17">
        <v>0.131070313218693</v>
      </c>
      <c r="O1411" s="17">
        <v>0.254212351192662</v>
      </c>
      <c r="P1411" s="17">
        <v>0.195920991397766</v>
      </c>
      <c r="Q1411" s="17">
        <v>0.31118872247447898</v>
      </c>
      <c r="R1411" s="17">
        <v>0.29494857613717101</v>
      </c>
      <c r="S1411" s="17">
        <v>0.27914555834641702</v>
      </c>
      <c r="T1411" s="17">
        <v>0.22986662355711199</v>
      </c>
      <c r="U1411" s="17">
        <v>0.278133147957421</v>
      </c>
      <c r="V1411" s="17">
        <v>0.23884344559630999</v>
      </c>
      <c r="W1411" s="17"/>
      <c r="X1411" s="17">
        <v>0.23107476223705001</v>
      </c>
      <c r="Y1411" s="17">
        <v>0.27437300505971401</v>
      </c>
    </row>
    <row r="1412" spans="2:25" x14ac:dyDescent="0.35">
      <c r="B1412" t="s">
        <v>279</v>
      </c>
      <c r="C1412" s="17">
        <v>4.6663241763563498E-2</v>
      </c>
      <c r="D1412" s="17">
        <v>4.9286522879142397E-2</v>
      </c>
      <c r="E1412" s="17">
        <v>4.3523215710054498E-2</v>
      </c>
      <c r="F1412" s="17"/>
      <c r="G1412" s="17">
        <v>5.7321650147260199E-2</v>
      </c>
      <c r="H1412" s="17">
        <v>5.40726912353491E-2</v>
      </c>
      <c r="I1412" s="17">
        <v>4.3342394823893501E-2</v>
      </c>
      <c r="J1412" s="17">
        <v>3.9426641814495997E-2</v>
      </c>
      <c r="K1412" s="17">
        <v>4.6793653407788599E-2</v>
      </c>
      <c r="L1412" s="17">
        <v>4.5299140138808897E-2</v>
      </c>
      <c r="M1412" s="17"/>
      <c r="N1412" s="17">
        <v>3.7840057510060698E-2</v>
      </c>
      <c r="O1412" s="17">
        <v>5.1238797568631901E-2</v>
      </c>
      <c r="P1412" s="17">
        <v>4.6232098780267301E-2</v>
      </c>
      <c r="Q1412" s="17">
        <v>4.6153891112254902E-2</v>
      </c>
      <c r="R1412" s="17">
        <v>6.0192412199023798E-2</v>
      </c>
      <c r="S1412" s="17">
        <v>5.7280362449669699E-2</v>
      </c>
      <c r="T1412" s="17">
        <v>2.6238027397382999E-2</v>
      </c>
      <c r="U1412" s="17">
        <v>4.9848190754778698E-2</v>
      </c>
      <c r="V1412" s="17">
        <v>3.4163126482230202E-2</v>
      </c>
      <c r="W1412" s="17"/>
      <c r="X1412" s="17">
        <v>4.2562648859793301E-2</v>
      </c>
      <c r="Y1412" s="17">
        <v>4.8932881169147097E-2</v>
      </c>
    </row>
    <row r="1413" spans="2:25" x14ac:dyDescent="0.35">
      <c r="B1413" t="s">
        <v>280</v>
      </c>
      <c r="C1413" s="17">
        <v>2.2108850446729399E-2</v>
      </c>
      <c r="D1413" s="17">
        <v>2.4203613076395201E-2</v>
      </c>
      <c r="E1413" s="17">
        <v>1.9968381244508199E-2</v>
      </c>
      <c r="F1413" s="17"/>
      <c r="G1413" s="17">
        <v>1.18243713684899E-2</v>
      </c>
      <c r="H1413" s="17">
        <v>1.81776676068259E-2</v>
      </c>
      <c r="I1413" s="17">
        <v>2.590943950496E-2</v>
      </c>
      <c r="J1413" s="17">
        <v>2.1404072705414001E-2</v>
      </c>
      <c r="K1413" s="17">
        <v>2.4448050537467399E-2</v>
      </c>
      <c r="L1413" s="17">
        <v>2.4768905695894301E-2</v>
      </c>
      <c r="M1413" s="17"/>
      <c r="N1413" s="17">
        <v>2.1891686808429799E-2</v>
      </c>
      <c r="O1413" s="17">
        <v>2.43963709214568E-2</v>
      </c>
      <c r="P1413" s="17">
        <v>3.2592188562963899E-2</v>
      </c>
      <c r="Q1413" s="17">
        <v>2.5480916559776998E-2</v>
      </c>
      <c r="R1413" s="17">
        <v>2.10811927943509E-2</v>
      </c>
      <c r="S1413" s="17">
        <v>2.56921971942011E-2</v>
      </c>
      <c r="T1413" s="17">
        <v>1.56388866514959E-2</v>
      </c>
      <c r="U1413" s="17">
        <v>1.42326127176897E-2</v>
      </c>
      <c r="V1413" s="17">
        <v>1.6155052551454899E-2</v>
      </c>
      <c r="W1413" s="17"/>
      <c r="X1413" s="17">
        <v>1.6980107826061502E-2</v>
      </c>
      <c r="Y1413" s="17">
        <v>2.4947561000576698E-2</v>
      </c>
    </row>
    <row r="1414" spans="2:25" x14ac:dyDescent="0.35">
      <c r="B1414" t="s">
        <v>224</v>
      </c>
      <c r="C1414" s="17">
        <v>0.11547400366911</v>
      </c>
      <c r="D1414" s="17">
        <v>6.7512907280327897E-2</v>
      </c>
      <c r="E1414" s="17">
        <v>0.16002187267010801</v>
      </c>
      <c r="F1414" s="17"/>
      <c r="G1414" s="17">
        <v>6.3727176912990097E-2</v>
      </c>
      <c r="H1414" s="17">
        <v>6.8952820660097905E-2</v>
      </c>
      <c r="I1414" s="17">
        <v>9.7278286377225506E-2</v>
      </c>
      <c r="J1414" s="17">
        <v>0.13784856021435701</v>
      </c>
      <c r="K1414" s="17">
        <v>0.15095706540472001</v>
      </c>
      <c r="L1414" s="17">
        <v>0.13530897381558299</v>
      </c>
      <c r="M1414" s="17"/>
      <c r="N1414" s="17">
        <v>9.7038552629092403E-2</v>
      </c>
      <c r="O1414" s="17">
        <v>9.9195734877956104E-2</v>
      </c>
      <c r="P1414" s="17">
        <v>0.12426025615323499</v>
      </c>
      <c r="Q1414" s="17">
        <v>9.7568105799390806E-2</v>
      </c>
      <c r="R1414" s="17">
        <v>0.12014978059383501</v>
      </c>
      <c r="S1414" s="17">
        <v>0.149799298104521</v>
      </c>
      <c r="T1414" s="17">
        <v>0.108477390825424</v>
      </c>
      <c r="U1414" s="17">
        <v>9.2895282797448894E-2</v>
      </c>
      <c r="V1414" s="17">
        <v>0.13214216442114399</v>
      </c>
      <c r="W1414" s="17"/>
      <c r="X1414" s="17">
        <v>7.6096000792324703E-2</v>
      </c>
      <c r="Y1414" s="17">
        <v>0.137269355985152</v>
      </c>
    </row>
    <row r="1415" spans="2:25" x14ac:dyDescent="0.35">
      <c r="B1415" t="s">
        <v>281</v>
      </c>
      <c r="C1415" s="17">
        <v>0.55680755751391198</v>
      </c>
      <c r="D1415" s="17">
        <v>0.59492717212596902</v>
      </c>
      <c r="E1415" s="17">
        <v>0.52166667529924304</v>
      </c>
      <c r="F1415" s="17"/>
      <c r="G1415" s="17">
        <v>0.58654262873343499</v>
      </c>
      <c r="H1415" s="17">
        <v>0.57771143181127804</v>
      </c>
      <c r="I1415" s="17">
        <v>0.57429328474451602</v>
      </c>
      <c r="J1415" s="17">
        <v>0.54028362069459002</v>
      </c>
      <c r="K1415" s="17">
        <v>0.51822280134159504</v>
      </c>
      <c r="L1415" s="17">
        <v>0.55884070941625297</v>
      </c>
      <c r="M1415" s="17"/>
      <c r="N1415" s="17">
        <v>0.71215938983372395</v>
      </c>
      <c r="O1415" s="17">
        <v>0.57095674543929298</v>
      </c>
      <c r="P1415" s="17">
        <v>0.60099446510576804</v>
      </c>
      <c r="Q1415" s="17">
        <v>0.51960836405409805</v>
      </c>
      <c r="R1415" s="17">
        <v>0.50362803827561897</v>
      </c>
      <c r="S1415" s="17">
        <v>0.48808258390519099</v>
      </c>
      <c r="T1415" s="17">
        <v>0.61977907156858503</v>
      </c>
      <c r="U1415" s="17">
        <v>0.56489076577266195</v>
      </c>
      <c r="V1415" s="17">
        <v>0.57869621094886103</v>
      </c>
      <c r="W1415" s="17"/>
      <c r="X1415" s="17">
        <v>0.63328648028476997</v>
      </c>
      <c r="Y1415" s="17">
        <v>0.51447719678541004</v>
      </c>
    </row>
    <row r="1416" spans="2:25" x14ac:dyDescent="0.35">
      <c r="B1416" t="s">
        <v>282</v>
      </c>
      <c r="C1416" s="17">
        <v>6.8772092210292901E-2</v>
      </c>
      <c r="D1416" s="17">
        <v>7.3490135955537494E-2</v>
      </c>
      <c r="E1416" s="17">
        <v>6.3491596954562801E-2</v>
      </c>
      <c r="F1416" s="17"/>
      <c r="G1416" s="17">
        <v>6.9146021515750097E-2</v>
      </c>
      <c r="H1416" s="17">
        <v>7.2250358842174997E-2</v>
      </c>
      <c r="I1416" s="17">
        <v>6.9251834328853498E-2</v>
      </c>
      <c r="J1416" s="17">
        <v>6.0830714519909998E-2</v>
      </c>
      <c r="K1416" s="17">
        <v>7.1241703945255905E-2</v>
      </c>
      <c r="L1416" s="17">
        <v>7.0068045834703094E-2</v>
      </c>
      <c r="M1416" s="17"/>
      <c r="N1416" s="17">
        <v>5.9731744318490598E-2</v>
      </c>
      <c r="O1416" s="17">
        <v>7.5635168490088694E-2</v>
      </c>
      <c r="P1416" s="17">
        <v>7.88242873432312E-2</v>
      </c>
      <c r="Q1416" s="17">
        <v>7.1634807672031897E-2</v>
      </c>
      <c r="R1416" s="17">
        <v>8.1273604993374701E-2</v>
      </c>
      <c r="S1416" s="17">
        <v>8.2972559643870694E-2</v>
      </c>
      <c r="T1416" s="17">
        <v>4.1876914048878999E-2</v>
      </c>
      <c r="U1416" s="17">
        <v>6.4080803472468403E-2</v>
      </c>
      <c r="V1416" s="17">
        <v>5.0318179033685101E-2</v>
      </c>
      <c r="W1416" s="17"/>
      <c r="X1416" s="17">
        <v>5.9542756685854799E-2</v>
      </c>
      <c r="Y1416" s="17">
        <v>7.3880442169723795E-2</v>
      </c>
    </row>
    <row r="1417" spans="2:25" x14ac:dyDescent="0.35">
      <c r="B1417" t="s">
        <v>92</v>
      </c>
      <c r="C1417" s="17">
        <v>0.48803546530361902</v>
      </c>
      <c r="D1417" s="17">
        <v>0.52143703617043202</v>
      </c>
      <c r="E1417" s="17">
        <v>0.45817507834468002</v>
      </c>
      <c r="F1417" s="17"/>
      <c r="G1417" s="17">
        <v>0.51739660721768499</v>
      </c>
      <c r="H1417" s="17">
        <v>0.50546107296910303</v>
      </c>
      <c r="I1417" s="17">
        <v>0.50504145041566295</v>
      </c>
      <c r="J1417" s="17">
        <v>0.47945290617468</v>
      </c>
      <c r="K1417" s="17">
        <v>0.44698109739633901</v>
      </c>
      <c r="L1417" s="17">
        <v>0.48877266358155003</v>
      </c>
      <c r="M1417" s="17"/>
      <c r="N1417" s="17">
        <v>0.65242764551523402</v>
      </c>
      <c r="O1417" s="17">
        <v>0.49532157694920398</v>
      </c>
      <c r="P1417" s="17">
        <v>0.52217017776253705</v>
      </c>
      <c r="Q1417" s="17">
        <v>0.44797355638206598</v>
      </c>
      <c r="R1417" s="17">
        <v>0.42235443328224398</v>
      </c>
      <c r="S1417" s="17">
        <v>0.40511002426131998</v>
      </c>
      <c r="T1417" s="17">
        <v>0.57790215751970597</v>
      </c>
      <c r="U1417" s="17">
        <v>0.50080996230019303</v>
      </c>
      <c r="V1417" s="17">
        <v>0.52837803191517596</v>
      </c>
      <c r="W1417" s="17"/>
      <c r="X1417" s="17">
        <v>0.57374372359891501</v>
      </c>
      <c r="Y1417" s="17">
        <v>0.44059675461568698</v>
      </c>
    </row>
    <row r="1418" spans="2:25" x14ac:dyDescent="0.35">
      <c r="C1418" s="17"/>
      <c r="D1418" s="17"/>
      <c r="E1418" s="17"/>
      <c r="F1418" s="17"/>
      <c r="G1418" s="17"/>
      <c r="H1418" s="17"/>
      <c r="I1418" s="17"/>
      <c r="J1418" s="17"/>
      <c r="K1418" s="17"/>
      <c r="L1418" s="17"/>
      <c r="M1418" s="17"/>
      <c r="N1418" s="17"/>
      <c r="O1418" s="17"/>
      <c r="P1418" s="17"/>
      <c r="Q1418" s="17"/>
      <c r="R1418" s="17"/>
      <c r="S1418" s="17"/>
      <c r="T1418" s="17"/>
      <c r="U1418" s="17"/>
      <c r="V1418" s="17"/>
      <c r="W1418" s="17"/>
      <c r="X1418" s="17"/>
      <c r="Y1418" s="17"/>
    </row>
    <row r="1419" spans="2:25" x14ac:dyDescent="0.35">
      <c r="B1419" s="6" t="s">
        <v>530</v>
      </c>
      <c r="C1419" s="17"/>
      <c r="D1419" s="17"/>
      <c r="E1419" s="17"/>
      <c r="F1419" s="17"/>
      <c r="G1419" s="17"/>
      <c r="H1419" s="17"/>
      <c r="I1419" s="17"/>
      <c r="J1419" s="17"/>
      <c r="K1419" s="17"/>
      <c r="L1419" s="17"/>
      <c r="M1419" s="17"/>
      <c r="N1419" s="17"/>
      <c r="O1419" s="17"/>
      <c r="P1419" s="17"/>
      <c r="Q1419" s="17"/>
      <c r="R1419" s="17"/>
      <c r="S1419" s="17"/>
      <c r="T1419" s="17"/>
      <c r="U1419" s="17"/>
      <c r="V1419" s="17"/>
      <c r="W1419" s="17"/>
      <c r="X1419" s="17"/>
      <c r="Y1419" s="17"/>
    </row>
    <row r="1420" spans="2:25" x14ac:dyDescent="0.35">
      <c r="B1420" s="24" t="s">
        <v>50</v>
      </c>
      <c r="C1420" s="17"/>
      <c r="D1420" s="17"/>
      <c r="E1420" s="17"/>
      <c r="F1420" s="17"/>
      <c r="G1420" s="17"/>
      <c r="H1420" s="17"/>
      <c r="I1420" s="17"/>
      <c r="J1420" s="17"/>
      <c r="K1420" s="17"/>
      <c r="L1420" s="17"/>
      <c r="M1420" s="17"/>
      <c r="N1420" s="17"/>
      <c r="O1420" s="17"/>
      <c r="P1420" s="17"/>
      <c r="Q1420" s="17"/>
      <c r="R1420" s="17"/>
      <c r="S1420" s="17"/>
      <c r="T1420" s="17"/>
      <c r="U1420" s="17"/>
      <c r="V1420" s="17"/>
      <c r="W1420" s="17"/>
      <c r="X1420" s="17"/>
      <c r="Y1420" s="17"/>
    </row>
    <row r="1421" spans="2:25" x14ac:dyDescent="0.35">
      <c r="B1421" t="s">
        <v>523</v>
      </c>
      <c r="C1421" s="17">
        <v>0.161137230917938</v>
      </c>
      <c r="D1421" s="17">
        <v>0.21103502678432901</v>
      </c>
      <c r="E1421" s="17">
        <v>0.114808192486496</v>
      </c>
      <c r="F1421" s="17"/>
      <c r="G1421" s="17">
        <v>0.15041789912058001</v>
      </c>
      <c r="H1421" s="17">
        <v>0.18113319059656099</v>
      </c>
      <c r="I1421" s="17">
        <v>0.185799799052451</v>
      </c>
      <c r="J1421" s="17">
        <v>0.160993783417859</v>
      </c>
      <c r="K1421" s="17">
        <v>0.167749659995935</v>
      </c>
      <c r="L1421" s="17">
        <v>0.13321481161457799</v>
      </c>
      <c r="M1421" s="17"/>
      <c r="N1421" s="17">
        <v>0.188275287375617</v>
      </c>
      <c r="O1421" s="17">
        <v>0.31316107667960402</v>
      </c>
      <c r="P1421" s="17">
        <v>0.160159027255322</v>
      </c>
      <c r="Q1421" s="17">
        <v>0.14828769497625599</v>
      </c>
      <c r="R1421" s="17">
        <v>0.13615454048421699</v>
      </c>
      <c r="S1421" s="17">
        <v>8.66724105900675E-2</v>
      </c>
      <c r="T1421" s="17">
        <v>0.19348615837587901</v>
      </c>
      <c r="U1421" s="17">
        <v>0.20206074840065799</v>
      </c>
      <c r="V1421" s="17">
        <v>0.17106670853176001</v>
      </c>
      <c r="W1421" s="17"/>
      <c r="X1421" s="17">
        <v>0.194997612630498</v>
      </c>
      <c r="Y1421" s="17">
        <v>0.14240002912399</v>
      </c>
    </row>
    <row r="1422" spans="2:25" x14ac:dyDescent="0.35">
      <c r="B1422" t="s">
        <v>524</v>
      </c>
      <c r="C1422" s="17">
        <v>0.31356678424781398</v>
      </c>
      <c r="D1422" s="17">
        <v>0.346173278454039</v>
      </c>
      <c r="E1422" s="17">
        <v>0.282959813464364</v>
      </c>
      <c r="F1422" s="17"/>
      <c r="G1422" s="17">
        <v>0.39351385039057302</v>
      </c>
      <c r="H1422" s="17">
        <v>0.38312443696142401</v>
      </c>
      <c r="I1422" s="17">
        <v>0.33494862108693002</v>
      </c>
      <c r="J1422" s="17">
        <v>0.28662610584753601</v>
      </c>
      <c r="K1422" s="17">
        <v>0.28377903236073398</v>
      </c>
      <c r="L1422" s="17">
        <v>0.26693898207775602</v>
      </c>
      <c r="M1422" s="17"/>
      <c r="N1422" s="17">
        <v>0.31140077005797601</v>
      </c>
      <c r="O1422" s="17">
        <v>0.36548572401121898</v>
      </c>
      <c r="P1422" s="17">
        <v>0.30977000442626001</v>
      </c>
      <c r="Q1422" s="17">
        <v>0.31126048765568298</v>
      </c>
      <c r="R1422" s="17">
        <v>0.35532090628824298</v>
      </c>
      <c r="S1422" s="17">
        <v>0.22832458119219601</v>
      </c>
      <c r="T1422" s="17">
        <v>0.33706065163808102</v>
      </c>
      <c r="U1422" s="17">
        <v>0.30912249427642602</v>
      </c>
      <c r="V1422" s="17">
        <v>0.36504950060355901</v>
      </c>
      <c r="W1422" s="17"/>
      <c r="X1422" s="17">
        <v>0.34616291284183198</v>
      </c>
      <c r="Y1422" s="17">
        <v>0.29552917780993398</v>
      </c>
    </row>
    <row r="1423" spans="2:25" x14ac:dyDescent="0.35">
      <c r="B1423" t="s">
        <v>525</v>
      </c>
      <c r="C1423" s="17">
        <v>0.28371676770127802</v>
      </c>
      <c r="D1423" s="17">
        <v>0.26431407961734699</v>
      </c>
      <c r="E1423" s="17">
        <v>0.30142657225858199</v>
      </c>
      <c r="F1423" s="17"/>
      <c r="G1423" s="17">
        <v>0.291961181108572</v>
      </c>
      <c r="H1423" s="17">
        <v>0.26340229388656</v>
      </c>
      <c r="I1423" s="17">
        <v>0.27181430135804702</v>
      </c>
      <c r="J1423" s="17">
        <v>0.31621778844501403</v>
      </c>
      <c r="K1423" s="17">
        <v>0.27930267316415902</v>
      </c>
      <c r="L1423" s="17">
        <v>0.28100527280476101</v>
      </c>
      <c r="M1423" s="17"/>
      <c r="N1423" s="17">
        <v>0.25420262397597998</v>
      </c>
      <c r="O1423" s="17">
        <v>0.150793167015846</v>
      </c>
      <c r="P1423" s="17">
        <v>0.26858117341611698</v>
      </c>
      <c r="Q1423" s="17">
        <v>0.29614367294535299</v>
      </c>
      <c r="R1423" s="17">
        <v>0.29429823496740998</v>
      </c>
      <c r="S1423" s="17">
        <v>0.30931485208398202</v>
      </c>
      <c r="T1423" s="17">
        <v>0.31106774695281703</v>
      </c>
      <c r="U1423" s="17">
        <v>0.28326335299216099</v>
      </c>
      <c r="V1423" s="17">
        <v>0.21465172997891099</v>
      </c>
      <c r="W1423" s="17"/>
      <c r="X1423" s="17">
        <v>0.26048620087882002</v>
      </c>
      <c r="Y1423" s="17">
        <v>0.296571785758524</v>
      </c>
    </row>
    <row r="1424" spans="2:25" x14ac:dyDescent="0.35">
      <c r="B1424" t="s">
        <v>526</v>
      </c>
      <c r="C1424" s="17">
        <v>6.1984540623993202E-2</v>
      </c>
      <c r="D1424" s="17">
        <v>5.5342970902369198E-2</v>
      </c>
      <c r="E1424" s="17">
        <v>6.8484943916333293E-2</v>
      </c>
      <c r="F1424" s="17"/>
      <c r="G1424" s="17">
        <v>8.1342055507086994E-2</v>
      </c>
      <c r="H1424" s="17">
        <v>5.0066065803323803E-2</v>
      </c>
      <c r="I1424" s="17">
        <v>5.7364779765660998E-2</v>
      </c>
      <c r="J1424" s="17">
        <v>4.8999337900718302E-2</v>
      </c>
      <c r="K1424" s="17">
        <v>5.3318048872965401E-2</v>
      </c>
      <c r="L1424" s="17">
        <v>7.9377499154074105E-2</v>
      </c>
      <c r="M1424" s="17"/>
      <c r="N1424" s="17">
        <v>5.6235718819670703E-2</v>
      </c>
      <c r="O1424" s="17">
        <v>2.57305452404019E-2</v>
      </c>
      <c r="P1424" s="17">
        <v>6.2538084466093199E-2</v>
      </c>
      <c r="Q1424" s="17">
        <v>7.8615752670816094E-2</v>
      </c>
      <c r="R1424" s="17">
        <v>4.35576725905596E-2</v>
      </c>
      <c r="S1424" s="17">
        <v>0.133246294013904</v>
      </c>
      <c r="T1424" s="17">
        <v>2.69290415494359E-2</v>
      </c>
      <c r="U1424" s="17">
        <v>4.3705716879874699E-2</v>
      </c>
      <c r="V1424" s="17">
        <v>4.1600713982163598E-2</v>
      </c>
      <c r="W1424" s="17"/>
      <c r="X1424" s="17">
        <v>6.79576131350169E-2</v>
      </c>
      <c r="Y1424" s="17">
        <v>5.8679242239615598E-2</v>
      </c>
    </row>
    <row r="1425" spans="2:25" x14ac:dyDescent="0.35">
      <c r="B1425" t="s">
        <v>527</v>
      </c>
      <c r="C1425" s="17">
        <v>4.57386501864048E-2</v>
      </c>
      <c r="D1425" s="17">
        <v>4.1141375340586303E-2</v>
      </c>
      <c r="E1425" s="17">
        <v>4.99351349453531E-2</v>
      </c>
      <c r="F1425" s="17"/>
      <c r="G1425" s="17">
        <v>1.9074453475061998E-2</v>
      </c>
      <c r="H1425" s="17">
        <v>3.6759876242764999E-2</v>
      </c>
      <c r="I1425" s="17">
        <v>3.9273151022485998E-2</v>
      </c>
      <c r="J1425" s="17">
        <v>4.18896892426922E-2</v>
      </c>
      <c r="K1425" s="17">
        <v>5.25453626913314E-2</v>
      </c>
      <c r="L1425" s="17">
        <v>6.3274128477342304E-2</v>
      </c>
      <c r="M1425" s="17"/>
      <c r="N1425" s="17">
        <v>6.5243162564399604E-2</v>
      </c>
      <c r="O1425" s="17">
        <v>7.7936804837924296E-3</v>
      </c>
      <c r="P1425" s="17">
        <v>5.0675409399956899E-2</v>
      </c>
      <c r="Q1425" s="17">
        <v>4.9306215990975698E-2</v>
      </c>
      <c r="R1425" s="17">
        <v>1.72426669290929E-2</v>
      </c>
      <c r="S1425" s="17">
        <v>0.107676098176183</v>
      </c>
      <c r="T1425" s="17">
        <v>1.7786946661427099E-2</v>
      </c>
      <c r="U1425" s="17">
        <v>3.7087447990526698E-2</v>
      </c>
      <c r="V1425" s="17">
        <v>4.1170565493443001E-2</v>
      </c>
      <c r="W1425" s="17"/>
      <c r="X1425" s="17">
        <v>3.9495802364603497E-2</v>
      </c>
      <c r="Y1425" s="17">
        <v>4.9193233197281097E-2</v>
      </c>
    </row>
    <row r="1426" spans="2:25" x14ac:dyDescent="0.35">
      <c r="B1426" t="s">
        <v>80</v>
      </c>
      <c r="C1426" s="17">
        <v>0.13385602632257099</v>
      </c>
      <c r="D1426" s="17">
        <v>8.19932689013292E-2</v>
      </c>
      <c r="E1426" s="17">
        <v>0.18238534292887201</v>
      </c>
      <c r="F1426" s="17"/>
      <c r="G1426" s="17">
        <v>6.3690560398125498E-2</v>
      </c>
      <c r="H1426" s="17">
        <v>8.55141365093669E-2</v>
      </c>
      <c r="I1426" s="17">
        <v>0.110799347714425</v>
      </c>
      <c r="J1426" s="17">
        <v>0.14527329514618101</v>
      </c>
      <c r="K1426" s="17">
        <v>0.16330522291487501</v>
      </c>
      <c r="L1426" s="17">
        <v>0.17618930587148901</v>
      </c>
      <c r="M1426" s="17"/>
      <c r="N1426" s="17">
        <v>0.124642437206356</v>
      </c>
      <c r="O1426" s="17">
        <v>0.137035806569136</v>
      </c>
      <c r="P1426" s="17">
        <v>0.14827630103625</v>
      </c>
      <c r="Q1426" s="17">
        <v>0.11638617576091601</v>
      </c>
      <c r="R1426" s="17">
        <v>0.153425978740478</v>
      </c>
      <c r="S1426" s="17">
        <v>0.13476576394366699</v>
      </c>
      <c r="T1426" s="17">
        <v>0.11366945482236</v>
      </c>
      <c r="U1426" s="17">
        <v>0.124760239460354</v>
      </c>
      <c r="V1426" s="17">
        <v>0.16646078141016299</v>
      </c>
      <c r="W1426" s="17"/>
      <c r="X1426" s="17">
        <v>9.0899858149230003E-2</v>
      </c>
      <c r="Y1426" s="17">
        <v>0.15762653187065501</v>
      </c>
    </row>
    <row r="1427" spans="2:25" x14ac:dyDescent="0.35">
      <c r="B1427" t="s">
        <v>528</v>
      </c>
      <c r="C1427" s="17">
        <v>0.474704015165753</v>
      </c>
      <c r="D1427" s="17">
        <v>0.55720830523836795</v>
      </c>
      <c r="E1427" s="17">
        <v>0.39776800595085998</v>
      </c>
      <c r="F1427" s="17"/>
      <c r="G1427" s="17">
        <v>0.54393174951115397</v>
      </c>
      <c r="H1427" s="17">
        <v>0.56425762755798403</v>
      </c>
      <c r="I1427" s="17">
        <v>0.52074842013938105</v>
      </c>
      <c r="J1427" s="17">
        <v>0.44761988926539498</v>
      </c>
      <c r="K1427" s="17">
        <v>0.45152869235666898</v>
      </c>
      <c r="L1427" s="17">
        <v>0.400153793692334</v>
      </c>
      <c r="M1427" s="17"/>
      <c r="N1427" s="17">
        <v>0.499676057433593</v>
      </c>
      <c r="O1427" s="17">
        <v>0.67864680069082295</v>
      </c>
      <c r="P1427" s="17">
        <v>0.46992903168158201</v>
      </c>
      <c r="Q1427" s="17">
        <v>0.45954818263194003</v>
      </c>
      <c r="R1427" s="17">
        <v>0.49147544677245902</v>
      </c>
      <c r="S1427" s="17">
        <v>0.31499699178226398</v>
      </c>
      <c r="T1427" s="17">
        <v>0.53054681001395998</v>
      </c>
      <c r="U1427" s="17">
        <v>0.51118324267708404</v>
      </c>
      <c r="V1427" s="17">
        <v>0.53611620913531999</v>
      </c>
      <c r="W1427" s="17"/>
      <c r="X1427" s="17">
        <v>0.54116052547232996</v>
      </c>
      <c r="Y1427" s="17">
        <v>0.43792920693392401</v>
      </c>
    </row>
    <row r="1428" spans="2:25" x14ac:dyDescent="0.35">
      <c r="B1428" t="s">
        <v>529</v>
      </c>
      <c r="C1428" s="17">
        <v>0.107723190810398</v>
      </c>
      <c r="D1428" s="17">
        <v>9.6484346242955502E-2</v>
      </c>
      <c r="E1428" s="17">
        <v>0.118420078861686</v>
      </c>
      <c r="F1428" s="17"/>
      <c r="G1428" s="17">
        <v>0.100416508982149</v>
      </c>
      <c r="H1428" s="17">
        <v>8.6825942046088803E-2</v>
      </c>
      <c r="I1428" s="17">
        <v>9.6637930788146906E-2</v>
      </c>
      <c r="J1428" s="17">
        <v>9.0889027143410503E-2</v>
      </c>
      <c r="K1428" s="17">
        <v>0.105863411564297</v>
      </c>
      <c r="L1428" s="17">
        <v>0.14265162763141601</v>
      </c>
      <c r="M1428" s="17"/>
      <c r="N1428" s="17">
        <v>0.12147888138406999</v>
      </c>
      <c r="O1428" s="17">
        <v>3.3524225724194397E-2</v>
      </c>
      <c r="P1428" s="17">
        <v>0.11321349386604999</v>
      </c>
      <c r="Q1428" s="17">
        <v>0.12792196866179201</v>
      </c>
      <c r="R1428" s="17">
        <v>6.0800339519652503E-2</v>
      </c>
      <c r="S1428" s="17">
        <v>0.24092239219008699</v>
      </c>
      <c r="T1428" s="17">
        <v>4.4715988210862999E-2</v>
      </c>
      <c r="U1428" s="17">
        <v>8.0793164870401404E-2</v>
      </c>
      <c r="V1428" s="17">
        <v>8.2771279475606599E-2</v>
      </c>
      <c r="W1428" s="17"/>
      <c r="X1428" s="17">
        <v>0.10745341549961999</v>
      </c>
      <c r="Y1428" s="17">
        <v>0.107872475436897</v>
      </c>
    </row>
    <row r="1429" spans="2:25" x14ac:dyDescent="0.35">
      <c r="B1429" t="s">
        <v>92</v>
      </c>
      <c r="C1429" s="17">
        <v>0.107723190810398</v>
      </c>
      <c r="D1429" s="17">
        <v>9.6484346242955502E-2</v>
      </c>
      <c r="E1429" s="17">
        <v>0.118420078861686</v>
      </c>
      <c r="F1429" s="17"/>
      <c r="G1429" s="17">
        <v>0.100416508982149</v>
      </c>
      <c r="H1429" s="17">
        <v>8.6825942046088803E-2</v>
      </c>
      <c r="I1429" s="17">
        <v>9.6637930788146906E-2</v>
      </c>
      <c r="J1429" s="17">
        <v>9.0889027143410503E-2</v>
      </c>
      <c r="K1429" s="17">
        <v>0.105863411564297</v>
      </c>
      <c r="L1429" s="17">
        <v>0.14265162763141601</v>
      </c>
      <c r="M1429" s="17"/>
      <c r="N1429" s="17">
        <v>0.12147888138406999</v>
      </c>
      <c r="O1429" s="17">
        <v>3.3524225724194397E-2</v>
      </c>
      <c r="P1429" s="17">
        <v>0.11321349386604999</v>
      </c>
      <c r="Q1429" s="17">
        <v>0.12792196866179201</v>
      </c>
      <c r="R1429" s="17">
        <v>6.0800339519652503E-2</v>
      </c>
      <c r="S1429" s="17">
        <v>0.24092239219008699</v>
      </c>
      <c r="T1429" s="17">
        <v>4.4715988210862999E-2</v>
      </c>
      <c r="U1429" s="17">
        <v>8.0793164870401404E-2</v>
      </c>
      <c r="V1429" s="17">
        <v>8.2771279475606599E-2</v>
      </c>
      <c r="W1429" s="17"/>
      <c r="X1429" s="17">
        <v>0.10745341549961999</v>
      </c>
      <c r="Y1429" s="17">
        <v>0.107872475436897</v>
      </c>
    </row>
    <row r="1430" spans="2:25" x14ac:dyDescent="0.35">
      <c r="C1430" s="17"/>
      <c r="D1430" s="17"/>
      <c r="E1430" s="17"/>
      <c r="F1430" s="17"/>
      <c r="G1430" s="17"/>
      <c r="H1430" s="17"/>
      <c r="I1430" s="17"/>
      <c r="J1430" s="17"/>
      <c r="K1430" s="17"/>
      <c r="L1430" s="17"/>
      <c r="M1430" s="17"/>
      <c r="N1430" s="17"/>
      <c r="O1430" s="17"/>
      <c r="P1430" s="17"/>
      <c r="Q1430" s="17"/>
      <c r="R1430" s="17"/>
      <c r="S1430" s="17"/>
      <c r="T1430" s="17"/>
      <c r="U1430" s="17"/>
      <c r="V1430" s="17"/>
      <c r="W1430" s="17"/>
      <c r="X1430" s="17"/>
      <c r="Y1430" s="17"/>
    </row>
    <row r="1431" spans="2:25" x14ac:dyDescent="0.35">
      <c r="C1431" s="17"/>
      <c r="D1431" s="17"/>
      <c r="E1431" s="17"/>
      <c r="F1431" s="17"/>
      <c r="G1431" s="17"/>
      <c r="H1431" s="17"/>
      <c r="I1431" s="17"/>
      <c r="J1431" s="17"/>
      <c r="K1431" s="17"/>
      <c r="L1431" s="17"/>
      <c r="M1431" s="17"/>
      <c r="N1431" s="17"/>
      <c r="O1431" s="17"/>
      <c r="P1431" s="17"/>
      <c r="Q1431" s="17"/>
      <c r="R1431" s="17"/>
      <c r="S1431" s="17"/>
      <c r="T1431" s="17"/>
      <c r="U1431" s="17"/>
      <c r="V1431" s="17"/>
      <c r="W1431" s="17"/>
      <c r="X1431" s="17"/>
      <c r="Y1431" s="17"/>
    </row>
  </sheetData>
  <mergeCells count="5">
    <mergeCell ref="D5:E5"/>
    <mergeCell ref="G5:L5"/>
    <mergeCell ref="N5:V5"/>
    <mergeCell ref="X5:Y5"/>
    <mergeCell ref="D2:W2"/>
  </mergeCells>
  <pageMargins left="0.7" right="0.7" top="0.75" bottom="0.75" header="0.3" footer="0.3"/>
  <pageSetup paperSize="9" orientation="portrait" horizontalDpi="300" verticalDpi="30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Y20"/>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s>
  <sheetData>
    <row r="2" spans="2:25" ht="40" customHeight="1" x14ac:dyDescent="0.35">
      <c r="D2" s="30" t="s">
        <v>49</v>
      </c>
      <c r="E2" s="26"/>
      <c r="F2" s="26"/>
      <c r="G2" s="26"/>
      <c r="H2" s="26"/>
      <c r="I2" s="26"/>
      <c r="J2" s="26"/>
      <c r="K2" s="26"/>
      <c r="L2" s="26"/>
      <c r="M2" s="26"/>
      <c r="N2" s="26"/>
      <c r="O2" s="26"/>
      <c r="P2" s="26"/>
      <c r="Q2" s="26"/>
      <c r="R2" s="26"/>
      <c r="S2" s="26"/>
      <c r="T2" s="26"/>
      <c r="U2" s="26"/>
      <c r="V2" s="26"/>
      <c r="W2" s="26"/>
    </row>
    <row r="5" spans="2:25" ht="30" customHeight="1" x14ac:dyDescent="0.35">
      <c r="B5" s="15"/>
      <c r="C5" s="15"/>
      <c r="D5" s="29" t="s">
        <v>38</v>
      </c>
      <c r="E5" s="29"/>
      <c r="F5" s="15"/>
      <c r="G5" s="29" t="s">
        <v>39</v>
      </c>
      <c r="H5" s="29"/>
      <c r="I5" s="29"/>
      <c r="J5" s="29"/>
      <c r="K5" s="29"/>
      <c r="L5" s="29"/>
      <c r="M5" s="15"/>
      <c r="N5" s="29" t="s">
        <v>40</v>
      </c>
      <c r="O5" s="29"/>
      <c r="P5" s="29"/>
      <c r="Q5" s="29"/>
      <c r="R5" s="29"/>
      <c r="S5" s="29"/>
      <c r="T5" s="29"/>
      <c r="U5" s="29"/>
      <c r="V5" s="29"/>
      <c r="W5" s="15"/>
      <c r="X5" s="29" t="s">
        <v>41</v>
      </c>
      <c r="Y5" s="29"/>
    </row>
    <row r="6" spans="2:25" ht="29"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row>
    <row r="7" spans="2:25" ht="30" customHeight="1" x14ac:dyDescent="0.35">
      <c r="B7" s="10" t="s">
        <v>19</v>
      </c>
      <c r="C7" s="10">
        <v>6838</v>
      </c>
      <c r="D7" s="10">
        <v>3283</v>
      </c>
      <c r="E7" s="10">
        <v>3541</v>
      </c>
      <c r="F7" s="10"/>
      <c r="G7" s="10">
        <v>635</v>
      </c>
      <c r="H7" s="10">
        <v>1075</v>
      </c>
      <c r="I7" s="10">
        <v>1093</v>
      </c>
      <c r="J7" s="10">
        <v>1228</v>
      </c>
      <c r="K7" s="10">
        <v>1156</v>
      </c>
      <c r="L7" s="10">
        <v>1651</v>
      </c>
      <c r="M7" s="10"/>
      <c r="N7" s="10">
        <v>208</v>
      </c>
      <c r="O7" s="10">
        <v>200</v>
      </c>
      <c r="P7" s="10">
        <v>1002</v>
      </c>
      <c r="Q7" s="10">
        <v>1000</v>
      </c>
      <c r="R7" s="10">
        <v>1004</v>
      </c>
      <c r="S7" s="10">
        <v>1006</v>
      </c>
      <c r="T7" s="10">
        <v>1006</v>
      </c>
      <c r="U7" s="10">
        <v>1007</v>
      </c>
      <c r="V7" s="10">
        <v>405</v>
      </c>
      <c r="W7" s="10"/>
      <c r="X7" s="10">
        <v>2650</v>
      </c>
      <c r="Y7" s="10">
        <v>4188</v>
      </c>
    </row>
    <row r="8" spans="2:25" ht="30" customHeight="1" x14ac:dyDescent="0.35">
      <c r="B8" s="11" t="s">
        <v>20</v>
      </c>
      <c r="C8" s="11">
        <v>6838</v>
      </c>
      <c r="D8" s="11">
        <v>3309</v>
      </c>
      <c r="E8" s="11">
        <v>3515</v>
      </c>
      <c r="F8" s="11"/>
      <c r="G8" s="11">
        <v>645</v>
      </c>
      <c r="H8" s="11">
        <v>1026</v>
      </c>
      <c r="I8" s="11">
        <v>1111</v>
      </c>
      <c r="J8" s="11">
        <v>1184</v>
      </c>
      <c r="K8" s="11">
        <v>1140</v>
      </c>
      <c r="L8" s="11">
        <v>1732</v>
      </c>
      <c r="M8" s="11"/>
      <c r="N8" s="11">
        <v>208</v>
      </c>
      <c r="O8" s="11">
        <v>200</v>
      </c>
      <c r="P8" s="11">
        <v>1002</v>
      </c>
      <c r="Q8" s="11">
        <v>1000</v>
      </c>
      <c r="R8" s="11">
        <v>1004</v>
      </c>
      <c r="S8" s="11">
        <v>1006</v>
      </c>
      <c r="T8" s="11">
        <v>1006</v>
      </c>
      <c r="U8" s="11">
        <v>1007</v>
      </c>
      <c r="V8" s="11">
        <v>405</v>
      </c>
      <c r="W8" s="11"/>
      <c r="X8" s="11">
        <v>2436</v>
      </c>
      <c r="Y8" s="11">
        <v>4402</v>
      </c>
    </row>
    <row r="9" spans="2:25" ht="29" x14ac:dyDescent="0.35">
      <c r="B9" s="18" t="s">
        <v>42</v>
      </c>
      <c r="C9" s="17">
        <v>0.417547336477327</v>
      </c>
      <c r="D9" s="17">
        <v>0.45490951495031701</v>
      </c>
      <c r="E9" s="17">
        <v>0.38090205869681798</v>
      </c>
      <c r="F9" s="17"/>
      <c r="G9" s="17">
        <v>0.499739647854479</v>
      </c>
      <c r="H9" s="17">
        <v>0.47010099878180001</v>
      </c>
      <c r="I9" s="17">
        <v>0.45292336026246499</v>
      </c>
      <c r="J9" s="17">
        <v>0.41771785933206401</v>
      </c>
      <c r="K9" s="17">
        <v>0.39887158048520199</v>
      </c>
      <c r="L9" s="17">
        <v>0.34533292900599</v>
      </c>
      <c r="M9" s="17"/>
      <c r="N9" s="17">
        <v>0.33540298208336899</v>
      </c>
      <c r="O9" s="17">
        <v>0.29451171819507199</v>
      </c>
      <c r="P9" s="17">
        <v>0.41732256373384202</v>
      </c>
      <c r="Q9" s="17">
        <v>0.55632920247918805</v>
      </c>
      <c r="R9" s="17">
        <v>0.46624134120710198</v>
      </c>
      <c r="S9" s="17">
        <v>0.35607935408617603</v>
      </c>
      <c r="T9" s="17">
        <v>0.42716179737388399</v>
      </c>
      <c r="U9" s="17">
        <v>0.37940753209782202</v>
      </c>
      <c r="V9" s="17">
        <v>0.281298325471246</v>
      </c>
      <c r="W9" s="17"/>
      <c r="X9" s="17">
        <v>0.43636312166220298</v>
      </c>
      <c r="Y9" s="17">
        <v>0.407135310797481</v>
      </c>
    </row>
    <row r="10" spans="2:25" x14ac:dyDescent="0.35">
      <c r="B10" s="18" t="s">
        <v>43</v>
      </c>
      <c r="C10" s="17">
        <v>0.416773764701033</v>
      </c>
      <c r="D10" s="17">
        <v>0.44568137342198799</v>
      </c>
      <c r="E10" s="17">
        <v>0.39033319379855702</v>
      </c>
      <c r="F10" s="17"/>
      <c r="G10" s="17">
        <v>0.42697416340229999</v>
      </c>
      <c r="H10" s="17">
        <v>0.47716938968598299</v>
      </c>
      <c r="I10" s="17">
        <v>0.42032452558357503</v>
      </c>
      <c r="J10" s="17">
        <v>0.40362981129078701</v>
      </c>
      <c r="K10" s="17">
        <v>0.39119951877272802</v>
      </c>
      <c r="L10" s="17">
        <v>0.40076214257841197</v>
      </c>
      <c r="M10" s="17"/>
      <c r="N10" s="17">
        <v>0.32067539465025902</v>
      </c>
      <c r="O10" s="17">
        <v>0.433749337827596</v>
      </c>
      <c r="P10" s="17">
        <v>0.246794139186438</v>
      </c>
      <c r="Q10" s="17">
        <v>0.26596056373933702</v>
      </c>
      <c r="R10" s="17">
        <v>0.55402742746719902</v>
      </c>
      <c r="S10" s="17">
        <v>0.28578638906789</v>
      </c>
      <c r="T10" s="17">
        <v>0.72934973130801495</v>
      </c>
      <c r="U10" s="17">
        <v>0.46273913672561601</v>
      </c>
      <c r="V10" s="17">
        <v>0.34506562274276698</v>
      </c>
      <c r="W10" s="17"/>
      <c r="X10" s="17">
        <v>0.40721728090010301</v>
      </c>
      <c r="Y10" s="17">
        <v>0.42206200294177898</v>
      </c>
    </row>
    <row r="11" spans="2:25" x14ac:dyDescent="0.35">
      <c r="B11" s="18" t="s">
        <v>44</v>
      </c>
      <c r="C11" s="17">
        <v>0.36743628055407601</v>
      </c>
      <c r="D11" s="17">
        <v>0.33133641835816002</v>
      </c>
      <c r="E11" s="17">
        <v>0.401762977932062</v>
      </c>
      <c r="F11" s="17"/>
      <c r="G11" s="17">
        <v>0.45501347927410901</v>
      </c>
      <c r="H11" s="17">
        <v>0.37861406927833602</v>
      </c>
      <c r="I11" s="17">
        <v>0.34531455048221599</v>
      </c>
      <c r="J11" s="17">
        <v>0.349064925713371</v>
      </c>
      <c r="K11" s="17">
        <v>0.33863771849132202</v>
      </c>
      <c r="L11" s="17">
        <v>0.37392749137617198</v>
      </c>
      <c r="M11" s="17"/>
      <c r="N11" s="17">
        <v>0.40048688468225602</v>
      </c>
      <c r="O11" s="17">
        <v>0.432803395342582</v>
      </c>
      <c r="P11" s="17">
        <v>0.33243916941677798</v>
      </c>
      <c r="Q11" s="17">
        <v>0.317946764538584</v>
      </c>
      <c r="R11" s="17">
        <v>0.40093838870371501</v>
      </c>
      <c r="S11" s="17">
        <v>0.26777736511063699</v>
      </c>
      <c r="T11" s="17">
        <v>0.38839055167623499</v>
      </c>
      <c r="U11" s="17">
        <v>0.46152984636205502</v>
      </c>
      <c r="V11" s="17">
        <v>0.40545407708502901</v>
      </c>
      <c r="W11" s="17"/>
      <c r="X11" s="17">
        <v>0.37577212242353197</v>
      </c>
      <c r="Y11" s="17">
        <v>0.36282350469831798</v>
      </c>
    </row>
    <row r="12" spans="2:25" x14ac:dyDescent="0.35">
      <c r="B12" s="18" t="s">
        <v>45</v>
      </c>
      <c r="C12" s="17">
        <v>0.318408218962351</v>
      </c>
      <c r="D12" s="17">
        <v>0.34926859676108202</v>
      </c>
      <c r="E12" s="17">
        <v>0.28975803289852797</v>
      </c>
      <c r="F12" s="17"/>
      <c r="G12" s="17">
        <v>0.35827862155750401</v>
      </c>
      <c r="H12" s="17">
        <v>0.33172264653057798</v>
      </c>
      <c r="I12" s="17">
        <v>0.31216710658747698</v>
      </c>
      <c r="J12" s="17">
        <v>0.28921976636157198</v>
      </c>
      <c r="K12" s="17">
        <v>0.295360993021061</v>
      </c>
      <c r="L12" s="17">
        <v>0.33480804645402901</v>
      </c>
      <c r="M12" s="17"/>
      <c r="N12" s="17">
        <v>0.22133627165771499</v>
      </c>
      <c r="O12" s="17">
        <v>0.29591165510515</v>
      </c>
      <c r="P12" s="17">
        <v>0.211671833726499</v>
      </c>
      <c r="Q12" s="17">
        <v>0.26955675378820099</v>
      </c>
      <c r="R12" s="17">
        <v>0.38638673362931297</v>
      </c>
      <c r="S12" s="17">
        <v>0.29517148143079702</v>
      </c>
      <c r="T12" s="17">
        <v>0.34340757372970798</v>
      </c>
      <c r="U12" s="17">
        <v>0.41933904202062999</v>
      </c>
      <c r="V12" s="17">
        <v>0.34021226959628198</v>
      </c>
      <c r="W12" s="17"/>
      <c r="X12" s="17">
        <v>0.37519634818445802</v>
      </c>
      <c r="Y12" s="17">
        <v>0.28698356918231899</v>
      </c>
    </row>
    <row r="13" spans="2:25" ht="29" x14ac:dyDescent="0.35">
      <c r="B13" s="18" t="s">
        <v>46</v>
      </c>
      <c r="C13" s="17">
        <v>0.25181697415852899</v>
      </c>
      <c r="D13" s="17">
        <v>0.27850734872576099</v>
      </c>
      <c r="E13" s="17">
        <v>0.22634662962054899</v>
      </c>
      <c r="F13" s="17"/>
      <c r="G13" s="17">
        <v>0.32876453910008901</v>
      </c>
      <c r="H13" s="17">
        <v>0.31562614057891802</v>
      </c>
      <c r="I13" s="17">
        <v>0.27420018153965098</v>
      </c>
      <c r="J13" s="17">
        <v>0.24299158549730401</v>
      </c>
      <c r="K13" s="17">
        <v>0.230950225022446</v>
      </c>
      <c r="L13" s="17">
        <v>0.190815070567872</v>
      </c>
      <c r="M13" s="17"/>
      <c r="N13" s="17">
        <v>0.185112705227579</v>
      </c>
      <c r="O13" s="17">
        <v>0.18528437003150999</v>
      </c>
      <c r="P13" s="17">
        <v>0.25755448920045199</v>
      </c>
      <c r="Q13" s="17">
        <v>0.36518365486809301</v>
      </c>
      <c r="R13" s="17">
        <v>0.190677103115516</v>
      </c>
      <c r="S13" s="17">
        <v>0.22941996122466499</v>
      </c>
      <c r="T13" s="17">
        <v>0.223673678176672</v>
      </c>
      <c r="U13" s="17">
        <v>0.28643638513117697</v>
      </c>
      <c r="V13" s="17">
        <v>0.21584554805585501</v>
      </c>
      <c r="W13" s="17"/>
      <c r="X13" s="17">
        <v>0.25912471391318398</v>
      </c>
      <c r="Y13" s="17">
        <v>0.247773115598311</v>
      </c>
    </row>
    <row r="14" spans="2:25" ht="29" x14ac:dyDescent="0.35">
      <c r="B14" s="18" t="s">
        <v>47</v>
      </c>
      <c r="C14" s="17">
        <v>7.2848584964193094E-2</v>
      </c>
      <c r="D14" s="17">
        <v>8.9555267863176399E-2</v>
      </c>
      <c r="E14" s="17">
        <v>5.7412400867037E-2</v>
      </c>
      <c r="F14" s="17"/>
      <c r="G14" s="17">
        <v>9.2639952630313604E-2</v>
      </c>
      <c r="H14" s="17">
        <v>0.11494923474803299</v>
      </c>
      <c r="I14" s="17">
        <v>9.3118910981940098E-2</v>
      </c>
      <c r="J14" s="17">
        <v>6.3064745128314698E-2</v>
      </c>
      <c r="K14" s="17">
        <v>6.0074761228409899E-2</v>
      </c>
      <c r="L14" s="17">
        <v>4.2651639238750198E-2</v>
      </c>
      <c r="M14" s="17"/>
      <c r="N14" s="17">
        <v>2.79056616421814E-2</v>
      </c>
      <c r="O14" s="17">
        <v>3.5144725492582199E-2</v>
      </c>
      <c r="P14" s="17">
        <v>5.8915084898181001E-2</v>
      </c>
      <c r="Q14" s="17">
        <v>3.5166006933078503E-2</v>
      </c>
      <c r="R14" s="17">
        <v>0.13156398419086601</v>
      </c>
      <c r="S14" s="17">
        <v>8.2003821622029696E-2</v>
      </c>
      <c r="T14" s="17">
        <v>7.8715830535953393E-2</v>
      </c>
      <c r="U14" s="17">
        <v>7.4075027416825603E-2</v>
      </c>
      <c r="V14" s="17">
        <v>5.6144731991858002E-2</v>
      </c>
      <c r="W14" s="17"/>
      <c r="X14" s="17">
        <v>9.6819803319259004E-2</v>
      </c>
      <c r="Y14" s="17">
        <v>5.9583715141445399E-2</v>
      </c>
    </row>
    <row r="15" spans="2:25" x14ac:dyDescent="0.35">
      <c r="B15" s="18" t="s">
        <v>48</v>
      </c>
      <c r="C15" s="19">
        <v>0.145909689819615</v>
      </c>
      <c r="D15" s="19">
        <v>0.128820200628145</v>
      </c>
      <c r="E15" s="19">
        <v>0.16231986300038301</v>
      </c>
      <c r="F15" s="19"/>
      <c r="G15" s="19">
        <v>7.5991556298282595E-2</v>
      </c>
      <c r="H15" s="19">
        <v>9.8840051044681604E-2</v>
      </c>
      <c r="I15" s="19">
        <v>0.14588969706721799</v>
      </c>
      <c r="J15" s="19">
        <v>0.161221694138519</v>
      </c>
      <c r="K15" s="19">
        <v>0.179183729351582</v>
      </c>
      <c r="L15" s="19">
        <v>0.167441778199721</v>
      </c>
      <c r="M15" s="19"/>
      <c r="N15" s="19">
        <v>0.244406634633869</v>
      </c>
      <c r="O15" s="19">
        <v>0.17383866362014799</v>
      </c>
      <c r="P15" s="19">
        <v>0.22651970423902601</v>
      </c>
      <c r="Q15" s="19">
        <v>0.13964063824047099</v>
      </c>
      <c r="R15" s="19">
        <v>8.8061000303486903E-2</v>
      </c>
      <c r="S15" s="19">
        <v>0.23392055282235799</v>
      </c>
      <c r="T15" s="19">
        <v>4.3223035123556297E-2</v>
      </c>
      <c r="U15" s="19">
        <v>0.109604379557824</v>
      </c>
      <c r="V15" s="19">
        <v>0.16770730957445601</v>
      </c>
      <c r="W15" s="19"/>
      <c r="X15" s="19">
        <v>0.118656082177925</v>
      </c>
      <c r="Y15" s="19">
        <v>0.160990923998555</v>
      </c>
    </row>
    <row r="16" spans="2:25" x14ac:dyDescent="0.35">
      <c r="B16" s="16"/>
    </row>
    <row r="17" spans="2:2" x14ac:dyDescent="0.35">
      <c r="B17" t="s">
        <v>51</v>
      </c>
    </row>
    <row r="18" spans="2:2" x14ac:dyDescent="0.35">
      <c r="B18" t="s">
        <v>52</v>
      </c>
    </row>
    <row r="20" spans="2:2" x14ac:dyDescent="0.35">
      <c r="B20" s="8" t="str">
        <f>HYPERLINK("#'Contents'!A1", "Return to Contents")</f>
        <v>Return to Contents</v>
      </c>
    </row>
  </sheetData>
  <mergeCells count="5">
    <mergeCell ref="D5:E5"/>
    <mergeCell ref="G5:L5"/>
    <mergeCell ref="N5:V5"/>
    <mergeCell ref="X5:Y5"/>
    <mergeCell ref="D2:W2"/>
  </mergeCells>
  <pageMargins left="0.7" right="0.7" top="0.75" bottom="0.75" header="0.3" footer="0.3"/>
  <pageSetup paperSize="9" orientation="portrait" horizontalDpi="300" verticalDpi="300"/>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Y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s>
  <sheetData>
    <row r="2" spans="2:25" ht="40" customHeight="1" x14ac:dyDescent="0.35">
      <c r="D2" s="30" t="s">
        <v>57</v>
      </c>
      <c r="E2" s="26"/>
      <c r="F2" s="26"/>
      <c r="G2" s="26"/>
      <c r="H2" s="26"/>
      <c r="I2" s="26"/>
      <c r="J2" s="26"/>
      <c r="K2" s="26"/>
      <c r="L2" s="26"/>
      <c r="M2" s="26"/>
      <c r="N2" s="26"/>
      <c r="O2" s="26"/>
      <c r="P2" s="26"/>
      <c r="Q2" s="26"/>
      <c r="R2" s="26"/>
      <c r="S2" s="26"/>
      <c r="T2" s="26"/>
      <c r="U2" s="26"/>
      <c r="V2" s="26"/>
      <c r="W2" s="26"/>
    </row>
    <row r="5" spans="2:25" ht="30" customHeight="1" x14ac:dyDescent="0.35">
      <c r="B5" s="15"/>
      <c r="C5" s="15"/>
      <c r="D5" s="29" t="s">
        <v>38</v>
      </c>
      <c r="E5" s="29"/>
      <c r="F5" s="15"/>
      <c r="G5" s="29" t="s">
        <v>39</v>
      </c>
      <c r="H5" s="29"/>
      <c r="I5" s="29"/>
      <c r="J5" s="29"/>
      <c r="K5" s="29"/>
      <c r="L5" s="29"/>
      <c r="M5" s="15"/>
      <c r="N5" s="29" t="s">
        <v>40</v>
      </c>
      <c r="O5" s="29"/>
      <c r="P5" s="29"/>
      <c r="Q5" s="29"/>
      <c r="R5" s="29"/>
      <c r="S5" s="29"/>
      <c r="T5" s="29"/>
      <c r="U5" s="29"/>
      <c r="V5" s="29"/>
      <c r="W5" s="15"/>
      <c r="X5" s="29" t="s">
        <v>41</v>
      </c>
      <c r="Y5" s="29"/>
    </row>
    <row r="6" spans="2:25" ht="29"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row>
    <row r="7" spans="2:25" ht="30" customHeight="1" x14ac:dyDescent="0.35">
      <c r="B7" s="10" t="s">
        <v>19</v>
      </c>
      <c r="C7" s="10">
        <v>6838</v>
      </c>
      <c r="D7" s="10">
        <v>3283</v>
      </c>
      <c r="E7" s="10">
        <v>3541</v>
      </c>
      <c r="F7" s="10"/>
      <c r="G7" s="10">
        <v>635</v>
      </c>
      <c r="H7" s="10">
        <v>1075</v>
      </c>
      <c r="I7" s="10">
        <v>1093</v>
      </c>
      <c r="J7" s="10">
        <v>1228</v>
      </c>
      <c r="K7" s="10">
        <v>1156</v>
      </c>
      <c r="L7" s="10">
        <v>1651</v>
      </c>
      <c r="M7" s="10"/>
      <c r="N7" s="10">
        <v>208</v>
      </c>
      <c r="O7" s="10">
        <v>200</v>
      </c>
      <c r="P7" s="10">
        <v>1002</v>
      </c>
      <c r="Q7" s="10">
        <v>1000</v>
      </c>
      <c r="R7" s="10">
        <v>1004</v>
      </c>
      <c r="S7" s="10">
        <v>1006</v>
      </c>
      <c r="T7" s="10">
        <v>1006</v>
      </c>
      <c r="U7" s="10">
        <v>1007</v>
      </c>
      <c r="V7" s="10">
        <v>405</v>
      </c>
      <c r="W7" s="10"/>
      <c r="X7" s="10">
        <v>2650</v>
      </c>
      <c r="Y7" s="10">
        <v>4188</v>
      </c>
    </row>
    <row r="8" spans="2:25" ht="30" customHeight="1" x14ac:dyDescent="0.35">
      <c r="B8" s="11" t="s">
        <v>20</v>
      </c>
      <c r="C8" s="11">
        <v>6838</v>
      </c>
      <c r="D8" s="11">
        <v>3309</v>
      </c>
      <c r="E8" s="11">
        <v>3515</v>
      </c>
      <c r="F8" s="11"/>
      <c r="G8" s="11">
        <v>645</v>
      </c>
      <c r="H8" s="11">
        <v>1026</v>
      </c>
      <c r="I8" s="11">
        <v>1111</v>
      </c>
      <c r="J8" s="11">
        <v>1184</v>
      </c>
      <c r="K8" s="11">
        <v>1140</v>
      </c>
      <c r="L8" s="11">
        <v>1732</v>
      </c>
      <c r="M8" s="11"/>
      <c r="N8" s="11">
        <v>208</v>
      </c>
      <c r="O8" s="11">
        <v>200</v>
      </c>
      <c r="P8" s="11">
        <v>1002</v>
      </c>
      <c r="Q8" s="11">
        <v>1000</v>
      </c>
      <c r="R8" s="11">
        <v>1004</v>
      </c>
      <c r="S8" s="11">
        <v>1006</v>
      </c>
      <c r="T8" s="11">
        <v>1006</v>
      </c>
      <c r="U8" s="11">
        <v>1007</v>
      </c>
      <c r="V8" s="11">
        <v>405</v>
      </c>
      <c r="W8" s="11"/>
      <c r="X8" s="11">
        <v>2436</v>
      </c>
      <c r="Y8" s="11">
        <v>4402</v>
      </c>
    </row>
    <row r="9" spans="2:25" ht="29" x14ac:dyDescent="0.35">
      <c r="B9" s="18" t="s">
        <v>53</v>
      </c>
      <c r="C9" s="17">
        <v>0.62043958350304795</v>
      </c>
      <c r="D9" s="17">
        <v>0.59954546175552403</v>
      </c>
      <c r="E9" s="17">
        <v>0.64065116450078397</v>
      </c>
      <c r="F9" s="17"/>
      <c r="G9" s="17">
        <v>0.58306685897503396</v>
      </c>
      <c r="H9" s="17">
        <v>0.54124074531320399</v>
      </c>
      <c r="I9" s="17">
        <v>0.58200030764694999</v>
      </c>
      <c r="J9" s="17">
        <v>0.61304228608750699</v>
      </c>
      <c r="K9" s="17">
        <v>0.63735307987128098</v>
      </c>
      <c r="L9" s="17">
        <v>0.69981136637055397</v>
      </c>
      <c r="M9" s="17"/>
      <c r="N9" s="17">
        <v>0.60325673956319203</v>
      </c>
      <c r="O9" s="17">
        <v>0.57101629244558005</v>
      </c>
      <c r="P9" s="17">
        <v>0.57094298619456196</v>
      </c>
      <c r="Q9" s="17">
        <v>0.58746386083172497</v>
      </c>
      <c r="R9" s="17">
        <v>0.66045096669687997</v>
      </c>
      <c r="S9" s="17">
        <v>0.53865276095510195</v>
      </c>
      <c r="T9" s="17">
        <v>0.597879574462302</v>
      </c>
      <c r="U9" s="17">
        <v>0.76222609478498504</v>
      </c>
      <c r="V9" s="17">
        <v>0.66501358329591997</v>
      </c>
      <c r="W9" s="17"/>
      <c r="X9" s="17">
        <v>0.61938913838070397</v>
      </c>
      <c r="Y9" s="17">
        <v>0.621020864671048</v>
      </c>
    </row>
    <row r="10" spans="2:25" ht="29" x14ac:dyDescent="0.35">
      <c r="B10" s="18" t="s">
        <v>54</v>
      </c>
      <c r="C10" s="17">
        <v>0.61640024608506205</v>
      </c>
      <c r="D10" s="17">
        <v>0.67552323883230303</v>
      </c>
      <c r="E10" s="17">
        <v>0.56153682005715799</v>
      </c>
      <c r="F10" s="17"/>
      <c r="G10" s="17">
        <v>0.57845164927044801</v>
      </c>
      <c r="H10" s="17">
        <v>0.644569991218227</v>
      </c>
      <c r="I10" s="17">
        <v>0.61802290705579499</v>
      </c>
      <c r="J10" s="17">
        <v>0.615508863145527</v>
      </c>
      <c r="K10" s="17">
        <v>0.617217411823198</v>
      </c>
      <c r="L10" s="17">
        <v>0.61287701682653495</v>
      </c>
      <c r="M10" s="17"/>
      <c r="N10" s="17">
        <v>0.466644125536748</v>
      </c>
      <c r="O10" s="17">
        <v>0.59043274279745805</v>
      </c>
      <c r="P10" s="17">
        <v>0.494331084877497</v>
      </c>
      <c r="Q10" s="17">
        <v>0.58116247901398399</v>
      </c>
      <c r="R10" s="17">
        <v>0.75990562504456705</v>
      </c>
      <c r="S10" s="17">
        <v>0.56663447177522697</v>
      </c>
      <c r="T10" s="17">
        <v>0.660617475165448</v>
      </c>
      <c r="U10" s="17">
        <v>0.66185323937321705</v>
      </c>
      <c r="V10" s="17">
        <v>0.640165955015782</v>
      </c>
      <c r="W10" s="17"/>
      <c r="X10" s="17">
        <v>0.67365187994799902</v>
      </c>
      <c r="Y10" s="17">
        <v>0.58471910835219598</v>
      </c>
    </row>
    <row r="11" spans="2:25" ht="29" x14ac:dyDescent="0.35">
      <c r="B11" s="18" t="s">
        <v>55</v>
      </c>
      <c r="C11" s="17">
        <v>0.53655021789669999</v>
      </c>
      <c r="D11" s="17">
        <v>0.50736170745975695</v>
      </c>
      <c r="E11" s="17">
        <v>0.56355483886064195</v>
      </c>
      <c r="F11" s="17"/>
      <c r="G11" s="17">
        <v>0.64115131408269599</v>
      </c>
      <c r="H11" s="17">
        <v>0.59768820873719197</v>
      </c>
      <c r="I11" s="17">
        <v>0.53936789199746704</v>
      </c>
      <c r="J11" s="17">
        <v>0.53214001161170998</v>
      </c>
      <c r="K11" s="17">
        <v>0.52993149593131295</v>
      </c>
      <c r="L11" s="17">
        <v>0.46699336449573398</v>
      </c>
      <c r="M11" s="17"/>
      <c r="N11" s="17">
        <v>0.49464310516763199</v>
      </c>
      <c r="O11" s="17">
        <v>0.33206158805094099</v>
      </c>
      <c r="P11" s="17">
        <v>0.58128973088839497</v>
      </c>
      <c r="Q11" s="17">
        <v>0.58915557243503103</v>
      </c>
      <c r="R11" s="17">
        <v>0.46708446290691902</v>
      </c>
      <c r="S11" s="17">
        <v>0.51535073474359705</v>
      </c>
      <c r="T11" s="17">
        <v>0.59816967305875801</v>
      </c>
      <c r="U11" s="17">
        <v>0.53114884762680303</v>
      </c>
      <c r="V11" s="17">
        <v>0.50371161269004205</v>
      </c>
      <c r="W11" s="17"/>
      <c r="X11" s="17">
        <v>0.52411390810444303</v>
      </c>
      <c r="Y11" s="17">
        <v>0.543432055441465</v>
      </c>
    </row>
    <row r="12" spans="2:25" ht="43.5" x14ac:dyDescent="0.35">
      <c r="B12" s="18" t="s">
        <v>56</v>
      </c>
      <c r="C12" s="17">
        <v>0.20476362693658701</v>
      </c>
      <c r="D12" s="17">
        <v>0.27583827973012598</v>
      </c>
      <c r="E12" s="17">
        <v>0.13815930562981199</v>
      </c>
      <c r="F12" s="17"/>
      <c r="G12" s="17">
        <v>0.30195517868055</v>
      </c>
      <c r="H12" s="17">
        <v>0.27530296146509697</v>
      </c>
      <c r="I12" s="17">
        <v>0.245914408244404</v>
      </c>
      <c r="J12" s="17">
        <v>0.186574005130793</v>
      </c>
      <c r="K12" s="17">
        <v>0.163421096601882</v>
      </c>
      <c r="L12" s="17">
        <v>0.14008191609068599</v>
      </c>
      <c r="M12" s="17"/>
      <c r="N12" s="17">
        <v>0.20929174558399399</v>
      </c>
      <c r="O12" s="17">
        <v>0.225992832657015</v>
      </c>
      <c r="P12" s="17">
        <v>0.16288073237512601</v>
      </c>
      <c r="Q12" s="17">
        <v>0.19797074765967501</v>
      </c>
      <c r="R12" s="17">
        <v>0.15445738265775499</v>
      </c>
      <c r="S12" s="17">
        <v>0.16431936384839599</v>
      </c>
      <c r="T12" s="17">
        <v>0.32065847515699503</v>
      </c>
      <c r="U12" s="17">
        <v>0.230022680228021</v>
      </c>
      <c r="V12" s="17">
        <v>0.18683810533958101</v>
      </c>
      <c r="W12" s="17"/>
      <c r="X12" s="17">
        <v>0.26915736296964599</v>
      </c>
      <c r="Y12" s="17">
        <v>0.169130288938212</v>
      </c>
    </row>
    <row r="13" spans="2:25" x14ac:dyDescent="0.35">
      <c r="B13" s="18" t="s">
        <v>48</v>
      </c>
      <c r="C13" s="19">
        <v>6.2174174755032299E-2</v>
      </c>
      <c r="D13" s="19">
        <v>5.4159816652039901E-2</v>
      </c>
      <c r="E13" s="19">
        <v>6.9653269008365007E-2</v>
      </c>
      <c r="F13" s="19"/>
      <c r="G13" s="19">
        <v>3.3649283790729297E-2</v>
      </c>
      <c r="H13" s="19">
        <v>5.7871909685090303E-2</v>
      </c>
      <c r="I13" s="19">
        <v>6.9996088922116506E-2</v>
      </c>
      <c r="J13" s="19">
        <v>7.8109538123380007E-2</v>
      </c>
      <c r="K13" s="19">
        <v>6.6466145663490794E-2</v>
      </c>
      <c r="L13" s="19">
        <v>5.6604635470032298E-2</v>
      </c>
      <c r="M13" s="19"/>
      <c r="N13" s="19">
        <v>0.110058970345636</v>
      </c>
      <c r="O13" s="19">
        <v>9.3183454142362607E-2</v>
      </c>
      <c r="P13" s="19">
        <v>8.7715232650838595E-2</v>
      </c>
      <c r="Q13" s="19">
        <v>7.1432690574348895E-2</v>
      </c>
      <c r="R13" s="19">
        <v>2.9948683335208299E-2</v>
      </c>
      <c r="S13" s="19">
        <v>9.6792668814082994E-2</v>
      </c>
      <c r="T13" s="19">
        <v>3.6784772381264097E-2</v>
      </c>
      <c r="U13" s="19">
        <v>3.7669511500654299E-2</v>
      </c>
      <c r="V13" s="19">
        <v>5.4108925016862902E-2</v>
      </c>
      <c r="W13" s="19"/>
      <c r="X13" s="19">
        <v>3.9983389382888701E-2</v>
      </c>
      <c r="Y13" s="19">
        <v>7.4453812563421401E-2</v>
      </c>
    </row>
    <row r="14" spans="2:25" x14ac:dyDescent="0.35">
      <c r="B14" s="16"/>
    </row>
    <row r="15" spans="2:25" x14ac:dyDescent="0.35">
      <c r="B15" t="s">
        <v>51</v>
      </c>
    </row>
    <row r="16" spans="2:25" x14ac:dyDescent="0.35">
      <c r="B16" t="s">
        <v>52</v>
      </c>
    </row>
    <row r="18" spans="2:2" x14ac:dyDescent="0.35">
      <c r="B18" s="8" t="str">
        <f>HYPERLINK("#'Contents'!A1", "Return to Contents")</f>
        <v>Return to Contents</v>
      </c>
    </row>
  </sheetData>
  <mergeCells count="5">
    <mergeCell ref="D5:E5"/>
    <mergeCell ref="G5:L5"/>
    <mergeCell ref="N5:V5"/>
    <mergeCell ref="X5:Y5"/>
    <mergeCell ref="D2:W2"/>
  </mergeCells>
  <pageMargins left="0.7" right="0.7" top="0.75" bottom="0.75" header="0.3" footer="0.3"/>
  <pageSetup paperSize="9" orientation="portrait" horizontalDpi="300" verticalDpi="300"/>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2:Y25"/>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s>
  <sheetData>
    <row r="2" spans="2:25" ht="40" customHeight="1" x14ac:dyDescent="0.35">
      <c r="D2" s="30" t="s">
        <v>70</v>
      </c>
      <c r="E2" s="26"/>
      <c r="F2" s="26"/>
      <c r="G2" s="26"/>
      <c r="H2" s="26"/>
      <c r="I2" s="26"/>
      <c r="J2" s="26"/>
      <c r="K2" s="26"/>
      <c r="L2" s="26"/>
      <c r="M2" s="26"/>
      <c r="N2" s="26"/>
      <c r="O2" s="26"/>
      <c r="P2" s="26"/>
      <c r="Q2" s="26"/>
      <c r="R2" s="26"/>
      <c r="S2" s="26"/>
      <c r="T2" s="26"/>
      <c r="U2" s="26"/>
      <c r="V2" s="26"/>
      <c r="W2" s="26"/>
    </row>
    <row r="5" spans="2:25" ht="30" customHeight="1" x14ac:dyDescent="0.35">
      <c r="B5" s="15"/>
      <c r="C5" s="15"/>
      <c r="D5" s="29" t="s">
        <v>38</v>
      </c>
      <c r="E5" s="29"/>
      <c r="F5" s="15"/>
      <c r="G5" s="29" t="s">
        <v>39</v>
      </c>
      <c r="H5" s="29"/>
      <c r="I5" s="29"/>
      <c r="J5" s="29"/>
      <c r="K5" s="29"/>
      <c r="L5" s="29"/>
      <c r="M5" s="15"/>
      <c r="N5" s="29" t="s">
        <v>40</v>
      </c>
      <c r="O5" s="29"/>
      <c r="P5" s="29"/>
      <c r="Q5" s="29"/>
      <c r="R5" s="29"/>
      <c r="S5" s="29"/>
      <c r="T5" s="29"/>
      <c r="U5" s="29"/>
      <c r="V5" s="29"/>
      <c r="W5" s="15"/>
      <c r="X5" s="29" t="s">
        <v>41</v>
      </c>
      <c r="Y5" s="29"/>
    </row>
    <row r="6" spans="2:25" ht="29"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row>
    <row r="7" spans="2:25" ht="30" customHeight="1" x14ac:dyDescent="0.35">
      <c r="B7" s="10" t="s">
        <v>19</v>
      </c>
      <c r="C7" s="10">
        <v>6838</v>
      </c>
      <c r="D7" s="10">
        <v>3283</v>
      </c>
      <c r="E7" s="10">
        <v>3541</v>
      </c>
      <c r="F7" s="10"/>
      <c r="G7" s="10">
        <v>635</v>
      </c>
      <c r="H7" s="10">
        <v>1075</v>
      </c>
      <c r="I7" s="10">
        <v>1093</v>
      </c>
      <c r="J7" s="10">
        <v>1228</v>
      </c>
      <c r="K7" s="10">
        <v>1156</v>
      </c>
      <c r="L7" s="10">
        <v>1651</v>
      </c>
      <c r="M7" s="10"/>
      <c r="N7" s="10">
        <v>208</v>
      </c>
      <c r="O7" s="10">
        <v>200</v>
      </c>
      <c r="P7" s="10">
        <v>1002</v>
      </c>
      <c r="Q7" s="10">
        <v>1000</v>
      </c>
      <c r="R7" s="10">
        <v>1004</v>
      </c>
      <c r="S7" s="10">
        <v>1006</v>
      </c>
      <c r="T7" s="10">
        <v>1006</v>
      </c>
      <c r="U7" s="10">
        <v>1007</v>
      </c>
      <c r="V7" s="10">
        <v>405</v>
      </c>
      <c r="W7" s="10"/>
      <c r="X7" s="10">
        <v>2650</v>
      </c>
      <c r="Y7" s="10">
        <v>4188</v>
      </c>
    </row>
    <row r="8" spans="2:25" ht="30" customHeight="1" x14ac:dyDescent="0.35">
      <c r="B8" s="11" t="s">
        <v>20</v>
      </c>
      <c r="C8" s="11">
        <v>6838</v>
      </c>
      <c r="D8" s="11">
        <v>3309</v>
      </c>
      <c r="E8" s="11">
        <v>3515</v>
      </c>
      <c r="F8" s="11"/>
      <c r="G8" s="11">
        <v>645</v>
      </c>
      <c r="H8" s="11">
        <v>1026</v>
      </c>
      <c r="I8" s="11">
        <v>1111</v>
      </c>
      <c r="J8" s="11">
        <v>1184</v>
      </c>
      <c r="K8" s="11">
        <v>1140</v>
      </c>
      <c r="L8" s="11">
        <v>1732</v>
      </c>
      <c r="M8" s="11"/>
      <c r="N8" s="11">
        <v>208</v>
      </c>
      <c r="O8" s="11">
        <v>200</v>
      </c>
      <c r="P8" s="11">
        <v>1002</v>
      </c>
      <c r="Q8" s="11">
        <v>1000</v>
      </c>
      <c r="R8" s="11">
        <v>1004</v>
      </c>
      <c r="S8" s="11">
        <v>1006</v>
      </c>
      <c r="T8" s="11">
        <v>1006</v>
      </c>
      <c r="U8" s="11">
        <v>1007</v>
      </c>
      <c r="V8" s="11">
        <v>405</v>
      </c>
      <c r="W8" s="11"/>
      <c r="X8" s="11">
        <v>2436</v>
      </c>
      <c r="Y8" s="11">
        <v>4402</v>
      </c>
    </row>
    <row r="9" spans="2:25" x14ac:dyDescent="0.35">
      <c r="B9" s="18" t="s">
        <v>58</v>
      </c>
      <c r="C9" s="17">
        <v>0.53886947200436497</v>
      </c>
      <c r="D9" s="17">
        <v>0.49233763690774601</v>
      </c>
      <c r="E9" s="17">
        <v>0.58259874220987995</v>
      </c>
      <c r="F9" s="17"/>
      <c r="G9" s="17">
        <v>0.51029321107373005</v>
      </c>
      <c r="H9" s="17">
        <v>0.47346964493043198</v>
      </c>
      <c r="I9" s="17">
        <v>0.51738518648040299</v>
      </c>
      <c r="J9" s="17">
        <v>0.50875988276153306</v>
      </c>
      <c r="K9" s="17">
        <v>0.54606864860586601</v>
      </c>
      <c r="L9" s="17">
        <v>0.61783762288587896</v>
      </c>
      <c r="M9" s="17"/>
      <c r="N9" s="17">
        <v>0.60639672483484497</v>
      </c>
      <c r="O9" s="17">
        <v>0.59356381725827301</v>
      </c>
      <c r="P9" s="17">
        <v>0.61537303213646599</v>
      </c>
      <c r="Q9" s="17">
        <v>0.48246384129338599</v>
      </c>
      <c r="R9" s="17">
        <v>0.60885132447202095</v>
      </c>
      <c r="S9" s="17">
        <v>0.50899630960050102</v>
      </c>
      <c r="T9" s="17">
        <v>0.49830758358732602</v>
      </c>
      <c r="U9" s="17">
        <v>0.533678416888269</v>
      </c>
      <c r="V9" s="17">
        <v>0.44155539686683298</v>
      </c>
      <c r="W9" s="17"/>
      <c r="X9" s="17">
        <v>0.52017083852228596</v>
      </c>
      <c r="Y9" s="17">
        <v>0.54921666985343098</v>
      </c>
    </row>
    <row r="10" spans="2:25" x14ac:dyDescent="0.35">
      <c r="B10" s="18" t="s">
        <v>59</v>
      </c>
      <c r="C10" s="17">
        <v>0.45304952371025498</v>
      </c>
      <c r="D10" s="17">
        <v>0.51663065050128298</v>
      </c>
      <c r="E10" s="17">
        <v>0.393352986147946</v>
      </c>
      <c r="F10" s="17"/>
      <c r="G10" s="17">
        <v>0.50108750587120299</v>
      </c>
      <c r="H10" s="17">
        <v>0.50810616515397999</v>
      </c>
      <c r="I10" s="17">
        <v>0.44916855100696901</v>
      </c>
      <c r="J10" s="17">
        <v>0.45338526357877001</v>
      </c>
      <c r="K10" s="17">
        <v>0.433183864961877</v>
      </c>
      <c r="L10" s="17">
        <v>0.41791563476096999</v>
      </c>
      <c r="M10" s="17"/>
      <c r="N10" s="17">
        <v>0.42845891275124598</v>
      </c>
      <c r="O10" s="17">
        <v>0.42249805326918399</v>
      </c>
      <c r="P10" s="17">
        <v>0.31939246528772702</v>
      </c>
      <c r="Q10" s="17">
        <v>0.558639156278669</v>
      </c>
      <c r="R10" s="17">
        <v>0.50315079929539896</v>
      </c>
      <c r="S10" s="17">
        <v>0.42586222760251802</v>
      </c>
      <c r="T10" s="17">
        <v>0.48950933836810401</v>
      </c>
      <c r="U10" s="17">
        <v>0.473109273357259</v>
      </c>
      <c r="V10" s="17">
        <v>0.35361712592067501</v>
      </c>
      <c r="W10" s="17"/>
      <c r="X10" s="17">
        <v>0.53254375161344403</v>
      </c>
      <c r="Y10" s="17">
        <v>0.40906007898631702</v>
      </c>
    </row>
    <row r="11" spans="2:25" x14ac:dyDescent="0.35">
      <c r="B11" s="18" t="s">
        <v>60</v>
      </c>
      <c r="C11" s="17">
        <v>0.387140207165665</v>
      </c>
      <c r="D11" s="17">
        <v>0.363318454805584</v>
      </c>
      <c r="E11" s="17">
        <v>0.41018655245755198</v>
      </c>
      <c r="F11" s="17"/>
      <c r="G11" s="17">
        <v>0.28457914742412299</v>
      </c>
      <c r="H11" s="17">
        <v>0.33117259922299802</v>
      </c>
      <c r="I11" s="17">
        <v>0.35138136309672802</v>
      </c>
      <c r="J11" s="17">
        <v>0.372564988042834</v>
      </c>
      <c r="K11" s="17">
        <v>0.41889450862041</v>
      </c>
      <c r="L11" s="17">
        <v>0.47043622534740898</v>
      </c>
      <c r="M11" s="17"/>
      <c r="N11" s="17">
        <v>0.34273928270693199</v>
      </c>
      <c r="O11" s="17">
        <v>0.47759030603964803</v>
      </c>
      <c r="P11" s="17">
        <v>0.42348923583672698</v>
      </c>
      <c r="Q11" s="17">
        <v>0.36117383638085998</v>
      </c>
      <c r="R11" s="17">
        <v>0.457664317051307</v>
      </c>
      <c r="S11" s="17">
        <v>0.331142927116858</v>
      </c>
      <c r="T11" s="17">
        <v>0.292035205576471</v>
      </c>
      <c r="U11" s="17">
        <v>0.42452141800904403</v>
      </c>
      <c r="V11" s="17">
        <v>0.44701632136908198</v>
      </c>
      <c r="W11" s="17"/>
      <c r="X11" s="17">
        <v>0.34422024706231402</v>
      </c>
      <c r="Y11" s="17">
        <v>0.410890676379849</v>
      </c>
    </row>
    <row r="12" spans="2:25" x14ac:dyDescent="0.35">
      <c r="B12" s="18" t="s">
        <v>61</v>
      </c>
      <c r="C12" s="17">
        <v>0.24724338121136</v>
      </c>
      <c r="D12" s="17">
        <v>0.26745516562038602</v>
      </c>
      <c r="E12" s="17">
        <v>0.228662965056951</v>
      </c>
      <c r="F12" s="17"/>
      <c r="G12" s="17">
        <v>0.15591974814975201</v>
      </c>
      <c r="H12" s="17">
        <v>0.20232711771258099</v>
      </c>
      <c r="I12" s="17">
        <v>0.25024124370385897</v>
      </c>
      <c r="J12" s="17">
        <v>0.24760417946341001</v>
      </c>
      <c r="K12" s="17">
        <v>0.27057078292006798</v>
      </c>
      <c r="L12" s="17">
        <v>0.29029484051128701</v>
      </c>
      <c r="M12" s="17"/>
      <c r="N12" s="17">
        <v>0.357669372780965</v>
      </c>
      <c r="O12" s="17">
        <v>0.18724486122322601</v>
      </c>
      <c r="P12" s="17">
        <v>0.214965881710318</v>
      </c>
      <c r="Q12" s="17">
        <v>0.15268349921618199</v>
      </c>
      <c r="R12" s="17">
        <v>0.271980129085996</v>
      </c>
      <c r="S12" s="17">
        <v>0.16963966012109599</v>
      </c>
      <c r="T12" s="17">
        <v>0.408177253255814</v>
      </c>
      <c r="U12" s="17">
        <v>0.21381801267817199</v>
      </c>
      <c r="V12" s="17">
        <v>0.34829660005887603</v>
      </c>
      <c r="W12" s="17"/>
      <c r="X12" s="17">
        <v>0.235905729764779</v>
      </c>
      <c r="Y12" s="17">
        <v>0.25351725800422698</v>
      </c>
    </row>
    <row r="13" spans="2:25" x14ac:dyDescent="0.35">
      <c r="B13" s="18" t="s">
        <v>62</v>
      </c>
      <c r="C13" s="17">
        <v>0.232243820198034</v>
      </c>
      <c r="D13" s="17">
        <v>0.241478438136247</v>
      </c>
      <c r="E13" s="17">
        <v>0.22361262323150299</v>
      </c>
      <c r="F13" s="17"/>
      <c r="G13" s="17">
        <v>0.19295195907246901</v>
      </c>
      <c r="H13" s="17">
        <v>0.20696838765263301</v>
      </c>
      <c r="I13" s="17">
        <v>0.22033821342131801</v>
      </c>
      <c r="J13" s="17">
        <v>0.22186262687848901</v>
      </c>
      <c r="K13" s="17">
        <v>0.233016523721395</v>
      </c>
      <c r="L13" s="17">
        <v>0.27605108789328903</v>
      </c>
      <c r="M13" s="17"/>
      <c r="N13" s="17">
        <v>0.18875657394683701</v>
      </c>
      <c r="O13" s="17">
        <v>0.15715426478454</v>
      </c>
      <c r="P13" s="17">
        <v>0.156686586511145</v>
      </c>
      <c r="Q13" s="17">
        <v>0.18371315043859901</v>
      </c>
      <c r="R13" s="17">
        <v>0.168989274880949</v>
      </c>
      <c r="S13" s="17">
        <v>0.37542164216985502</v>
      </c>
      <c r="T13" s="17">
        <v>0.33197824777932999</v>
      </c>
      <c r="U13" s="17">
        <v>0.18603798852219899</v>
      </c>
      <c r="V13" s="17">
        <v>0.266736139116872</v>
      </c>
      <c r="W13" s="17"/>
      <c r="X13" s="17">
        <v>0.225884126550668</v>
      </c>
      <c r="Y13" s="17">
        <v>0.235763061777469</v>
      </c>
    </row>
    <row r="14" spans="2:25" x14ac:dyDescent="0.35">
      <c r="B14" s="18" t="s">
        <v>63</v>
      </c>
      <c r="C14" s="17">
        <v>0.19263867056748599</v>
      </c>
      <c r="D14" s="17">
        <v>0.21102619125764299</v>
      </c>
      <c r="E14" s="17">
        <v>0.17555981396298001</v>
      </c>
      <c r="F14" s="17"/>
      <c r="G14" s="17">
        <v>0.18559243267907999</v>
      </c>
      <c r="H14" s="17">
        <v>0.19427281715375</v>
      </c>
      <c r="I14" s="17">
        <v>0.202007998863066</v>
      </c>
      <c r="J14" s="17">
        <v>0.19636906467794801</v>
      </c>
      <c r="K14" s="17">
        <v>0.18688557732214001</v>
      </c>
      <c r="L14" s="17">
        <v>0.189521170501603</v>
      </c>
      <c r="M14" s="17"/>
      <c r="N14" s="17">
        <v>8.1015070623802296E-2</v>
      </c>
      <c r="O14" s="17">
        <v>0.40644677270729701</v>
      </c>
      <c r="P14" s="17">
        <v>0.106524311224375</v>
      </c>
      <c r="Q14" s="17">
        <v>0.20942705308885301</v>
      </c>
      <c r="R14" s="17">
        <v>0.23467233549553099</v>
      </c>
      <c r="S14" s="17">
        <v>0.106270552111235</v>
      </c>
      <c r="T14" s="17">
        <v>0.17623916218126201</v>
      </c>
      <c r="U14" s="17">
        <v>0.31480837768410003</v>
      </c>
      <c r="V14" s="17">
        <v>0.163285168962786</v>
      </c>
      <c r="W14" s="17"/>
      <c r="X14" s="17">
        <v>0.22687358937153099</v>
      </c>
      <c r="Y14" s="17">
        <v>0.17369421248440201</v>
      </c>
    </row>
    <row r="15" spans="2:25" x14ac:dyDescent="0.35">
      <c r="B15" s="18" t="s">
        <v>64</v>
      </c>
      <c r="C15" s="17">
        <v>0.134508436916848</v>
      </c>
      <c r="D15" s="17">
        <v>0.13800475835347401</v>
      </c>
      <c r="E15" s="17">
        <v>0.13175522134804901</v>
      </c>
      <c r="F15" s="17"/>
      <c r="G15" s="17">
        <v>0.208079571380682</v>
      </c>
      <c r="H15" s="17">
        <v>0.181186328245904</v>
      </c>
      <c r="I15" s="17">
        <v>0.14873545003251801</v>
      </c>
      <c r="J15" s="17">
        <v>0.109143615659789</v>
      </c>
      <c r="K15" s="17">
        <v>0.10772185880449001</v>
      </c>
      <c r="L15" s="17">
        <v>0.105335082267042</v>
      </c>
      <c r="M15" s="17"/>
      <c r="N15" s="17">
        <v>0.120234664353915</v>
      </c>
      <c r="O15" s="17">
        <v>6.5522330675627793E-2</v>
      </c>
      <c r="P15" s="17">
        <v>0.10735726947409401</v>
      </c>
      <c r="Q15" s="17">
        <v>9.04294942655577E-2</v>
      </c>
      <c r="R15" s="17">
        <v>0.14035931376840199</v>
      </c>
      <c r="S15" s="17">
        <v>0.17589413624731201</v>
      </c>
      <c r="T15" s="17">
        <v>0.14656920855338501</v>
      </c>
      <c r="U15" s="17">
        <v>0.144838824320799</v>
      </c>
      <c r="V15" s="17">
        <v>0.17896880260258799</v>
      </c>
      <c r="W15" s="17"/>
      <c r="X15" s="17">
        <v>0.160083160020803</v>
      </c>
      <c r="Y15" s="17">
        <v>0.120356241241943</v>
      </c>
    </row>
    <row r="16" spans="2:25" x14ac:dyDescent="0.35">
      <c r="B16" s="18" t="s">
        <v>65</v>
      </c>
      <c r="C16" s="17">
        <v>0.127969655624215</v>
      </c>
      <c r="D16" s="17">
        <v>0.107332862611888</v>
      </c>
      <c r="E16" s="17">
        <v>0.14765287963760701</v>
      </c>
      <c r="F16" s="17"/>
      <c r="G16" s="17">
        <v>0.13088542097518399</v>
      </c>
      <c r="H16" s="17">
        <v>0.14737799844750901</v>
      </c>
      <c r="I16" s="17">
        <v>0.12550706146247001</v>
      </c>
      <c r="J16" s="17">
        <v>0.133415253666615</v>
      </c>
      <c r="K16" s="17">
        <v>0.10276222181</v>
      </c>
      <c r="L16" s="17">
        <v>0.129845531439059</v>
      </c>
      <c r="M16" s="17"/>
      <c r="N16" s="17">
        <v>0.19338538334667901</v>
      </c>
      <c r="O16" s="17">
        <v>0.198693392830667</v>
      </c>
      <c r="P16" s="17">
        <v>0.146510741928461</v>
      </c>
      <c r="Q16" s="17">
        <v>0.14807140351578299</v>
      </c>
      <c r="R16" s="17">
        <v>0.119717233139637</v>
      </c>
      <c r="S16" s="17">
        <v>0.141213772414823</v>
      </c>
      <c r="T16" s="17">
        <v>0.138267246526521</v>
      </c>
      <c r="U16" s="17">
        <v>5.4555066986356697E-2</v>
      </c>
      <c r="V16" s="17">
        <v>0.10846306258170101</v>
      </c>
      <c r="W16" s="17"/>
      <c r="X16" s="17">
        <v>0.104877328399213</v>
      </c>
      <c r="Y16" s="17">
        <v>0.14074817651567401</v>
      </c>
    </row>
    <row r="17" spans="2:25" x14ac:dyDescent="0.35">
      <c r="B17" s="18" t="s">
        <v>66</v>
      </c>
      <c r="C17" s="17">
        <v>9.2230368534292298E-2</v>
      </c>
      <c r="D17" s="17">
        <v>0.116418681698871</v>
      </c>
      <c r="E17" s="17">
        <v>6.9490251083804605E-2</v>
      </c>
      <c r="F17" s="17"/>
      <c r="G17" s="17">
        <v>0.14961397185891101</v>
      </c>
      <c r="H17" s="17">
        <v>0.12149214329018999</v>
      </c>
      <c r="I17" s="17">
        <v>9.0172071135311893E-2</v>
      </c>
      <c r="J17" s="17">
        <v>9.6864614948981798E-2</v>
      </c>
      <c r="K17" s="17">
        <v>6.5273770374329895E-2</v>
      </c>
      <c r="L17" s="17">
        <v>6.9449565387417506E-2</v>
      </c>
      <c r="M17" s="17"/>
      <c r="N17" s="17">
        <v>4.2832091503093098E-2</v>
      </c>
      <c r="O17" s="17">
        <v>8.4205134091524005E-3</v>
      </c>
      <c r="P17" s="17">
        <v>0.111707090861319</v>
      </c>
      <c r="Q17" s="17">
        <v>0.18899848204817801</v>
      </c>
      <c r="R17" s="17">
        <v>7.0508797035178206E-2</v>
      </c>
      <c r="S17" s="17">
        <v>2.8245798792044301E-2</v>
      </c>
      <c r="T17" s="17">
        <v>6.7428397965140399E-2</v>
      </c>
      <c r="U17" s="17">
        <v>0.106283491163115</v>
      </c>
      <c r="V17" s="17">
        <v>0.111314927085171</v>
      </c>
      <c r="W17" s="17"/>
      <c r="X17" s="17">
        <v>9.47284749855523E-2</v>
      </c>
      <c r="Y17" s="17">
        <v>9.0848000046028707E-2</v>
      </c>
    </row>
    <row r="18" spans="2:25" x14ac:dyDescent="0.35">
      <c r="B18" s="18" t="s">
        <v>67</v>
      </c>
      <c r="C18" s="17">
        <v>7.3338320460522605E-2</v>
      </c>
      <c r="D18" s="17">
        <v>7.2761469133461501E-2</v>
      </c>
      <c r="E18" s="17">
        <v>7.3526966647449801E-2</v>
      </c>
      <c r="F18" s="17"/>
      <c r="G18" s="17">
        <v>0.226953818050835</v>
      </c>
      <c r="H18" s="17">
        <v>0.11808032533776799</v>
      </c>
      <c r="I18" s="17">
        <v>7.10208348270919E-2</v>
      </c>
      <c r="J18" s="17">
        <v>5.2214501872665901E-2</v>
      </c>
      <c r="K18" s="17">
        <v>3.6618254938746E-2</v>
      </c>
      <c r="L18" s="17">
        <v>2.97755760702746E-2</v>
      </c>
      <c r="M18" s="17"/>
      <c r="N18" s="17">
        <v>3.6989000796508402E-2</v>
      </c>
      <c r="O18" s="17">
        <v>3.6733270849026001E-2</v>
      </c>
      <c r="P18" s="17">
        <v>4.09215852500752E-2</v>
      </c>
      <c r="Q18" s="17">
        <v>7.8452745399883006E-2</v>
      </c>
      <c r="R18" s="17">
        <v>8.1600108736601895E-2</v>
      </c>
      <c r="S18" s="17">
        <v>5.91719188156778E-2</v>
      </c>
      <c r="T18" s="17">
        <v>6.4336982557017502E-2</v>
      </c>
      <c r="U18" s="17">
        <v>0.123756820076976</v>
      </c>
      <c r="V18" s="17">
        <v>8.93612676126459E-2</v>
      </c>
      <c r="W18" s="17"/>
      <c r="X18" s="17">
        <v>7.5296177630517505E-2</v>
      </c>
      <c r="Y18" s="17">
        <v>7.2254907840152899E-2</v>
      </c>
    </row>
    <row r="19" spans="2:25" x14ac:dyDescent="0.35">
      <c r="B19" s="18" t="s">
        <v>68</v>
      </c>
      <c r="C19" s="17">
        <v>2.41177220583275E-2</v>
      </c>
      <c r="D19" s="17">
        <v>2.7620974028140399E-2</v>
      </c>
      <c r="E19" s="17">
        <v>2.0916263484909599E-2</v>
      </c>
      <c r="F19" s="17"/>
      <c r="G19" s="17">
        <v>1.8954837131343799E-2</v>
      </c>
      <c r="H19" s="17">
        <v>1.5128948915581201E-2</v>
      </c>
      <c r="I19" s="17">
        <v>2.13995677271346E-2</v>
      </c>
      <c r="J19" s="17">
        <v>3.4912611454815098E-2</v>
      </c>
      <c r="K19" s="17">
        <v>3.3368562377441E-2</v>
      </c>
      <c r="L19" s="17">
        <v>1.9638099860786299E-2</v>
      </c>
      <c r="M19" s="17"/>
      <c r="N19" s="17">
        <v>2.9786135522037599E-2</v>
      </c>
      <c r="O19" s="17">
        <v>3.2272957389158398E-3</v>
      </c>
      <c r="P19" s="17">
        <v>2.5221561045382E-2</v>
      </c>
      <c r="Q19" s="17">
        <v>1.76867654097599E-2</v>
      </c>
      <c r="R19" s="17">
        <v>3.7214866985937199E-2</v>
      </c>
      <c r="S19" s="17">
        <v>2.6837466021804899E-2</v>
      </c>
      <c r="T19" s="17">
        <v>1.1698952005560899E-2</v>
      </c>
      <c r="U19" s="17">
        <v>3.0868793108208899E-2</v>
      </c>
      <c r="V19" s="17">
        <v>1.9508644128065401E-2</v>
      </c>
      <c r="W19" s="17"/>
      <c r="X19" s="17">
        <v>3.1834927241522898E-2</v>
      </c>
      <c r="Y19" s="17">
        <v>1.9847279036440499E-2</v>
      </c>
    </row>
    <row r="20" spans="2:25" x14ac:dyDescent="0.35">
      <c r="B20" s="18" t="s">
        <v>69</v>
      </c>
      <c r="C20" s="19">
        <v>5.9469442513791701E-2</v>
      </c>
      <c r="D20" s="19">
        <v>4.2889787028656E-2</v>
      </c>
      <c r="E20" s="19">
        <v>7.5039593007667299E-2</v>
      </c>
      <c r="F20" s="19"/>
      <c r="G20" s="19">
        <v>4.62462600250855E-2</v>
      </c>
      <c r="H20" s="19">
        <v>5.2212256134650803E-2</v>
      </c>
      <c r="I20" s="19">
        <v>6.16922384466118E-2</v>
      </c>
      <c r="J20" s="19">
        <v>7.2637041264651397E-2</v>
      </c>
      <c r="K20" s="19">
        <v>7.9113373545704205E-2</v>
      </c>
      <c r="L20" s="19">
        <v>4.5332651853224E-2</v>
      </c>
      <c r="M20" s="19"/>
      <c r="N20" s="19">
        <v>6.4325568729521998E-2</v>
      </c>
      <c r="O20" s="19">
        <v>5.9678293704355401E-2</v>
      </c>
      <c r="P20" s="19">
        <v>7.3581912639152994E-2</v>
      </c>
      <c r="Q20" s="19">
        <v>7.2712859740286406E-2</v>
      </c>
      <c r="R20" s="19">
        <v>3.4264403307014697E-2</v>
      </c>
      <c r="S20" s="19">
        <v>8.7130394720634496E-2</v>
      </c>
      <c r="T20" s="19">
        <v>3.8550557826643302E-2</v>
      </c>
      <c r="U20" s="19">
        <v>4.90031256481471E-2</v>
      </c>
      <c r="V20" s="19">
        <v>6.1017501129605099E-2</v>
      </c>
      <c r="W20" s="19"/>
      <c r="X20" s="19">
        <v>3.8109424757287298E-2</v>
      </c>
      <c r="Y20" s="19">
        <v>7.1289361332883897E-2</v>
      </c>
    </row>
    <row r="21" spans="2:25" x14ac:dyDescent="0.35">
      <c r="B21" s="16"/>
    </row>
    <row r="22" spans="2:25" x14ac:dyDescent="0.35">
      <c r="B22" t="s">
        <v>51</v>
      </c>
    </row>
    <row r="23" spans="2:25" x14ac:dyDescent="0.35">
      <c r="B23" t="s">
        <v>52</v>
      </c>
    </row>
    <row r="25" spans="2:25" x14ac:dyDescent="0.35">
      <c r="B25" s="8" t="str">
        <f>HYPERLINK("#'Contents'!A1", "Return to Contents")</f>
        <v>Return to Contents</v>
      </c>
    </row>
  </sheetData>
  <mergeCells count="5">
    <mergeCell ref="D5:E5"/>
    <mergeCell ref="G5:L5"/>
    <mergeCell ref="N5:V5"/>
    <mergeCell ref="X5:Y5"/>
    <mergeCell ref="D2:W2"/>
  </mergeCells>
  <pageMargins left="0.7" right="0.7" top="0.75" bottom="0.75" header="0.3" footer="0.3"/>
  <pageSetup paperSize="9" orientation="portrait" horizontalDpi="300" verticalDpi="300"/>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2:Y25"/>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s>
  <sheetData>
    <row r="2" spans="2:25" ht="40" customHeight="1" x14ac:dyDescent="0.35">
      <c r="D2" s="30" t="s">
        <v>71</v>
      </c>
      <c r="E2" s="26"/>
      <c r="F2" s="26"/>
      <c r="G2" s="26"/>
      <c r="H2" s="26"/>
      <c r="I2" s="26"/>
      <c r="J2" s="26"/>
      <c r="K2" s="26"/>
      <c r="L2" s="26"/>
      <c r="M2" s="26"/>
      <c r="N2" s="26"/>
      <c r="O2" s="26"/>
      <c r="P2" s="26"/>
      <c r="Q2" s="26"/>
      <c r="R2" s="26"/>
      <c r="S2" s="26"/>
      <c r="T2" s="26"/>
      <c r="U2" s="26"/>
      <c r="V2" s="26"/>
      <c r="W2" s="26"/>
    </row>
    <row r="5" spans="2:25" ht="30" customHeight="1" x14ac:dyDescent="0.35">
      <c r="B5" s="15"/>
      <c r="C5" s="15"/>
      <c r="D5" s="29" t="s">
        <v>38</v>
      </c>
      <c r="E5" s="29"/>
      <c r="F5" s="15"/>
      <c r="G5" s="29" t="s">
        <v>39</v>
      </c>
      <c r="H5" s="29"/>
      <c r="I5" s="29"/>
      <c r="J5" s="29"/>
      <c r="K5" s="29"/>
      <c r="L5" s="29"/>
      <c r="M5" s="15"/>
      <c r="N5" s="29" t="s">
        <v>40</v>
      </c>
      <c r="O5" s="29"/>
      <c r="P5" s="29"/>
      <c r="Q5" s="29"/>
      <c r="R5" s="29"/>
      <c r="S5" s="29"/>
      <c r="T5" s="29"/>
      <c r="U5" s="29"/>
      <c r="V5" s="29"/>
      <c r="W5" s="15"/>
      <c r="X5" s="29" t="s">
        <v>41</v>
      </c>
      <c r="Y5" s="29"/>
    </row>
    <row r="6" spans="2:25" ht="29"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row>
    <row r="7" spans="2:25" ht="30" customHeight="1" x14ac:dyDescent="0.35">
      <c r="B7" s="10" t="s">
        <v>19</v>
      </c>
      <c r="C7" s="10">
        <v>6838</v>
      </c>
      <c r="D7" s="10">
        <v>3283</v>
      </c>
      <c r="E7" s="10">
        <v>3541</v>
      </c>
      <c r="F7" s="10"/>
      <c r="G7" s="10">
        <v>635</v>
      </c>
      <c r="H7" s="10">
        <v>1075</v>
      </c>
      <c r="I7" s="10">
        <v>1093</v>
      </c>
      <c r="J7" s="10">
        <v>1228</v>
      </c>
      <c r="K7" s="10">
        <v>1156</v>
      </c>
      <c r="L7" s="10">
        <v>1651</v>
      </c>
      <c r="M7" s="10"/>
      <c r="N7" s="10">
        <v>208</v>
      </c>
      <c r="O7" s="10">
        <v>200</v>
      </c>
      <c r="P7" s="10">
        <v>1002</v>
      </c>
      <c r="Q7" s="10">
        <v>1000</v>
      </c>
      <c r="R7" s="10">
        <v>1004</v>
      </c>
      <c r="S7" s="10">
        <v>1006</v>
      </c>
      <c r="T7" s="10">
        <v>1006</v>
      </c>
      <c r="U7" s="10">
        <v>1007</v>
      </c>
      <c r="V7" s="10">
        <v>405</v>
      </c>
      <c r="W7" s="10"/>
      <c r="X7" s="10">
        <v>2650</v>
      </c>
      <c r="Y7" s="10">
        <v>4188</v>
      </c>
    </row>
    <row r="8" spans="2:25" ht="30" customHeight="1" x14ac:dyDescent="0.35">
      <c r="B8" s="11" t="s">
        <v>20</v>
      </c>
      <c r="C8" s="11">
        <v>6838</v>
      </c>
      <c r="D8" s="11">
        <v>3309</v>
      </c>
      <c r="E8" s="11">
        <v>3515</v>
      </c>
      <c r="F8" s="11"/>
      <c r="G8" s="11">
        <v>645</v>
      </c>
      <c r="H8" s="11">
        <v>1026</v>
      </c>
      <c r="I8" s="11">
        <v>1111</v>
      </c>
      <c r="J8" s="11">
        <v>1184</v>
      </c>
      <c r="K8" s="11">
        <v>1140</v>
      </c>
      <c r="L8" s="11">
        <v>1732</v>
      </c>
      <c r="M8" s="11"/>
      <c r="N8" s="11">
        <v>208</v>
      </c>
      <c r="O8" s="11">
        <v>200</v>
      </c>
      <c r="P8" s="11">
        <v>1002</v>
      </c>
      <c r="Q8" s="11">
        <v>1000</v>
      </c>
      <c r="R8" s="11">
        <v>1004</v>
      </c>
      <c r="S8" s="11">
        <v>1006</v>
      </c>
      <c r="T8" s="11">
        <v>1006</v>
      </c>
      <c r="U8" s="11">
        <v>1007</v>
      </c>
      <c r="V8" s="11">
        <v>405</v>
      </c>
      <c r="W8" s="11"/>
      <c r="X8" s="11">
        <v>2436</v>
      </c>
      <c r="Y8" s="11">
        <v>4402</v>
      </c>
    </row>
    <row r="9" spans="2:25" x14ac:dyDescent="0.35">
      <c r="B9" s="18" t="s">
        <v>59</v>
      </c>
      <c r="C9" s="17">
        <v>0.50275717862777902</v>
      </c>
      <c r="D9" s="17">
        <v>0.53716129960639503</v>
      </c>
      <c r="E9" s="17">
        <v>0.470396533662165</v>
      </c>
      <c r="F9" s="17"/>
      <c r="G9" s="17">
        <v>0.51138573954387401</v>
      </c>
      <c r="H9" s="17">
        <v>0.51202804253032896</v>
      </c>
      <c r="I9" s="17">
        <v>0.51278323524181002</v>
      </c>
      <c r="J9" s="17">
        <v>0.50825157037570201</v>
      </c>
      <c r="K9" s="17">
        <v>0.48866279289907699</v>
      </c>
      <c r="L9" s="17">
        <v>0.49314924581111902</v>
      </c>
      <c r="M9" s="17"/>
      <c r="N9" s="17">
        <v>0.46429518992274399</v>
      </c>
      <c r="O9" s="17">
        <v>0.62195172561169698</v>
      </c>
      <c r="P9" s="17">
        <v>0.53558824126594495</v>
      </c>
      <c r="Q9" s="17">
        <v>0.39496086794347002</v>
      </c>
      <c r="R9" s="17">
        <v>0.51841808613384899</v>
      </c>
      <c r="S9" s="17">
        <v>0.47189817260394401</v>
      </c>
      <c r="T9" s="17">
        <v>0.45384229188710901</v>
      </c>
      <c r="U9" s="17">
        <v>0.63740909585848404</v>
      </c>
      <c r="V9" s="17">
        <v>0.47311588111767</v>
      </c>
      <c r="W9" s="17"/>
      <c r="X9" s="17">
        <v>0.56318841868383296</v>
      </c>
      <c r="Y9" s="17">
        <v>0.46931655326209398</v>
      </c>
    </row>
    <row r="10" spans="2:25" x14ac:dyDescent="0.35">
      <c r="B10" s="18" t="s">
        <v>63</v>
      </c>
      <c r="C10" s="17">
        <v>0.35850548584222097</v>
      </c>
      <c r="D10" s="17">
        <v>0.38615685558666302</v>
      </c>
      <c r="E10" s="17">
        <v>0.332877041141182</v>
      </c>
      <c r="F10" s="17"/>
      <c r="G10" s="17">
        <v>0.29820388390008601</v>
      </c>
      <c r="H10" s="17">
        <v>0.30461275884799099</v>
      </c>
      <c r="I10" s="17">
        <v>0.35645475360079798</v>
      </c>
      <c r="J10" s="17">
        <v>0.38356651315867402</v>
      </c>
      <c r="K10" s="17">
        <v>0.37430831537156001</v>
      </c>
      <c r="L10" s="17">
        <v>0.38663850744466199</v>
      </c>
      <c r="M10" s="17"/>
      <c r="N10" s="17">
        <v>0.208606441584653</v>
      </c>
      <c r="O10" s="17">
        <v>0.46435107278955001</v>
      </c>
      <c r="P10" s="17">
        <v>0.308968490830688</v>
      </c>
      <c r="Q10" s="17">
        <v>0.252977256548167</v>
      </c>
      <c r="R10" s="17">
        <v>0.46946164882478603</v>
      </c>
      <c r="S10" s="17">
        <v>0.30678417946269798</v>
      </c>
      <c r="T10" s="17">
        <v>0.32487257935346903</v>
      </c>
      <c r="U10" s="17">
        <v>0.54463769738379397</v>
      </c>
      <c r="V10" s="17">
        <v>0.24049411695419101</v>
      </c>
      <c r="W10" s="17"/>
      <c r="X10" s="17">
        <v>0.38769849919294502</v>
      </c>
      <c r="Y10" s="17">
        <v>0.34235104946376099</v>
      </c>
    </row>
    <row r="11" spans="2:25" x14ac:dyDescent="0.35">
      <c r="B11" s="18" t="s">
        <v>66</v>
      </c>
      <c r="C11" s="17">
        <v>0.21939895595414299</v>
      </c>
      <c r="D11" s="17">
        <v>0.22437513382924401</v>
      </c>
      <c r="E11" s="17">
        <v>0.214478710346445</v>
      </c>
      <c r="F11" s="17"/>
      <c r="G11" s="17">
        <v>0.22208559246729501</v>
      </c>
      <c r="H11" s="17">
        <v>0.212781751303493</v>
      </c>
      <c r="I11" s="17">
        <v>0.195879353928231</v>
      </c>
      <c r="J11" s="17">
        <v>0.222529073882586</v>
      </c>
      <c r="K11" s="17">
        <v>0.219670731297546</v>
      </c>
      <c r="L11" s="17">
        <v>0.235085280372614</v>
      </c>
      <c r="M11" s="17"/>
      <c r="N11" s="17">
        <v>0.11713290537580601</v>
      </c>
      <c r="O11" s="17">
        <v>9.4912485276130401E-2</v>
      </c>
      <c r="P11" s="17">
        <v>0.304987815001527</v>
      </c>
      <c r="Q11" s="17">
        <v>0.302761287884177</v>
      </c>
      <c r="R11" s="17">
        <v>0.23853699252473201</v>
      </c>
      <c r="S11" s="17">
        <v>0.12777739673074401</v>
      </c>
      <c r="T11" s="17">
        <v>0.16863974887102801</v>
      </c>
      <c r="U11" s="17">
        <v>0.23696048604013001</v>
      </c>
      <c r="V11" s="17">
        <v>0.17836751237705001</v>
      </c>
      <c r="W11" s="17"/>
      <c r="X11" s="17">
        <v>0.21506373767907799</v>
      </c>
      <c r="Y11" s="17">
        <v>0.221797920630037</v>
      </c>
    </row>
    <row r="12" spans="2:25" x14ac:dyDescent="0.35">
      <c r="B12" s="18" t="s">
        <v>67</v>
      </c>
      <c r="C12" s="17">
        <v>0.203534287481446</v>
      </c>
      <c r="D12" s="17">
        <v>0.19860509514716601</v>
      </c>
      <c r="E12" s="17">
        <v>0.20816598894111699</v>
      </c>
      <c r="F12" s="17"/>
      <c r="G12" s="17">
        <v>0.32178750167110098</v>
      </c>
      <c r="H12" s="17">
        <v>0.23762835925796</v>
      </c>
      <c r="I12" s="17">
        <v>0.20786487275483501</v>
      </c>
      <c r="J12" s="17">
        <v>0.195191572982996</v>
      </c>
      <c r="K12" s="17">
        <v>0.18082671501789099</v>
      </c>
      <c r="L12" s="17">
        <v>0.15721324571407</v>
      </c>
      <c r="M12" s="17"/>
      <c r="N12" s="17">
        <v>0.13961836823349899</v>
      </c>
      <c r="O12" s="17">
        <v>0.13938690730736999</v>
      </c>
      <c r="P12" s="17">
        <v>0.14124099433523299</v>
      </c>
      <c r="Q12" s="17">
        <v>0.16821704999801401</v>
      </c>
      <c r="R12" s="17">
        <v>0.25836008449512998</v>
      </c>
      <c r="S12" s="17">
        <v>0.147868005232558</v>
      </c>
      <c r="T12" s="17">
        <v>0.245511266917917</v>
      </c>
      <c r="U12" s="17">
        <v>0.29774110009376598</v>
      </c>
      <c r="V12" s="17">
        <v>0.173211281509285</v>
      </c>
      <c r="W12" s="17"/>
      <c r="X12" s="17">
        <v>0.21465188932260701</v>
      </c>
      <c r="Y12" s="17">
        <v>0.19738217877425701</v>
      </c>
    </row>
    <row r="13" spans="2:25" x14ac:dyDescent="0.35">
      <c r="B13" s="18" t="s">
        <v>58</v>
      </c>
      <c r="C13" s="17">
        <v>0.17148438217276099</v>
      </c>
      <c r="D13" s="17">
        <v>0.17949834510239601</v>
      </c>
      <c r="E13" s="17">
        <v>0.16371090520836701</v>
      </c>
      <c r="F13" s="17"/>
      <c r="G13" s="17">
        <v>0.23935468912601199</v>
      </c>
      <c r="H13" s="17">
        <v>0.189897243136187</v>
      </c>
      <c r="I13" s="17">
        <v>0.162962313286314</v>
      </c>
      <c r="J13" s="17">
        <v>0.15701466099252501</v>
      </c>
      <c r="K13" s="17">
        <v>0.157371342808165</v>
      </c>
      <c r="L13" s="17">
        <v>0.15997038125379201</v>
      </c>
      <c r="M13" s="17"/>
      <c r="N13" s="17">
        <v>0.19744533139020101</v>
      </c>
      <c r="O13" s="17">
        <v>0.19549764910537901</v>
      </c>
      <c r="P13" s="17">
        <v>0.211904873203697</v>
      </c>
      <c r="Q13" s="17">
        <v>0.19859188440380701</v>
      </c>
      <c r="R13" s="17">
        <v>0.14834432092723801</v>
      </c>
      <c r="S13" s="17">
        <v>0.180853497545933</v>
      </c>
      <c r="T13" s="17">
        <v>9.2675224505053E-2</v>
      </c>
      <c r="U13" s="17">
        <v>0.189187801681518</v>
      </c>
      <c r="V13" s="17">
        <v>0.16518955631027701</v>
      </c>
      <c r="W13" s="17"/>
      <c r="X13" s="17">
        <v>0.18552483402171799</v>
      </c>
      <c r="Y13" s="17">
        <v>0.16371486611102901</v>
      </c>
    </row>
    <row r="14" spans="2:25" x14ac:dyDescent="0.35">
      <c r="B14" s="18" t="s">
        <v>64</v>
      </c>
      <c r="C14" s="17">
        <v>0.136046468699804</v>
      </c>
      <c r="D14" s="17">
        <v>0.15762757887519499</v>
      </c>
      <c r="E14" s="17">
        <v>0.116274376560927</v>
      </c>
      <c r="F14" s="17"/>
      <c r="G14" s="17">
        <v>0.13437290149092501</v>
      </c>
      <c r="H14" s="17">
        <v>0.15986573937330001</v>
      </c>
      <c r="I14" s="17">
        <v>0.144989973407364</v>
      </c>
      <c r="J14" s="17">
        <v>0.127000345983631</v>
      </c>
      <c r="K14" s="17">
        <v>0.132759515800881</v>
      </c>
      <c r="L14" s="17">
        <v>0.125176989911681</v>
      </c>
      <c r="M14" s="17"/>
      <c r="N14" s="17">
        <v>0.124104637968025</v>
      </c>
      <c r="O14" s="17">
        <v>5.2732347028432797E-2</v>
      </c>
      <c r="P14" s="17">
        <v>9.5776686598312497E-2</v>
      </c>
      <c r="Q14" s="17">
        <v>9.6213162076475303E-2</v>
      </c>
      <c r="R14" s="17">
        <v>9.7799794319349001E-2</v>
      </c>
      <c r="S14" s="17">
        <v>0.150222347155892</v>
      </c>
      <c r="T14" s="17">
        <v>0.24998451909538399</v>
      </c>
      <c r="U14" s="17">
        <v>0.15086747037130599</v>
      </c>
      <c r="V14" s="17">
        <v>0.12104067458993099</v>
      </c>
      <c r="W14" s="17"/>
      <c r="X14" s="17">
        <v>0.16754615193886199</v>
      </c>
      <c r="Y14" s="17">
        <v>0.118615598418836</v>
      </c>
    </row>
    <row r="15" spans="2:25" x14ac:dyDescent="0.35">
      <c r="B15" s="18" t="s">
        <v>62</v>
      </c>
      <c r="C15" s="17">
        <v>0.115898999131752</v>
      </c>
      <c r="D15" s="17">
        <v>0.118698573799466</v>
      </c>
      <c r="E15" s="17">
        <v>0.113402686282077</v>
      </c>
      <c r="F15" s="17"/>
      <c r="G15" s="17">
        <v>0.14879655759318799</v>
      </c>
      <c r="H15" s="17">
        <v>0.15277666728318401</v>
      </c>
      <c r="I15" s="17">
        <v>0.11281679071814101</v>
      </c>
      <c r="J15" s="17">
        <v>0.10727925686374</v>
      </c>
      <c r="K15" s="17">
        <v>0.10133622818377</v>
      </c>
      <c r="L15" s="17">
        <v>9.9278135239637993E-2</v>
      </c>
      <c r="M15" s="17"/>
      <c r="N15" s="17">
        <v>0.126576436119685</v>
      </c>
      <c r="O15" s="17">
        <v>5.6179997617792403E-2</v>
      </c>
      <c r="P15" s="17">
        <v>0.119145546230042</v>
      </c>
      <c r="Q15" s="17">
        <v>0.104234139215999</v>
      </c>
      <c r="R15" s="17">
        <v>0.110576244137586</v>
      </c>
      <c r="S15" s="17">
        <v>9.3927308370009399E-2</v>
      </c>
      <c r="T15" s="17">
        <v>0.205661559652978</v>
      </c>
      <c r="U15" s="17">
        <v>8.6923484558818806E-2</v>
      </c>
      <c r="V15" s="17">
        <v>7.7527362943140804E-2</v>
      </c>
      <c r="W15" s="17"/>
      <c r="X15" s="17">
        <v>0.119518117857982</v>
      </c>
      <c r="Y15" s="17">
        <v>0.11389629997539601</v>
      </c>
    </row>
    <row r="16" spans="2:25" x14ac:dyDescent="0.35">
      <c r="B16" s="18" t="s">
        <v>61</v>
      </c>
      <c r="C16" s="17">
        <v>0.111523797278438</v>
      </c>
      <c r="D16" s="17">
        <v>0.128915430876542</v>
      </c>
      <c r="E16" s="17">
        <v>9.5283143956378297E-2</v>
      </c>
      <c r="F16" s="17"/>
      <c r="G16" s="17">
        <v>0.111982264164946</v>
      </c>
      <c r="H16" s="17">
        <v>0.11863760062890601</v>
      </c>
      <c r="I16" s="17">
        <v>0.11997769424203999</v>
      </c>
      <c r="J16" s="17">
        <v>9.3702377125854899E-2</v>
      </c>
      <c r="K16" s="17">
        <v>9.3924888247575999E-2</v>
      </c>
      <c r="L16" s="17">
        <v>0.12548133317443799</v>
      </c>
      <c r="M16" s="17"/>
      <c r="N16" s="17">
        <v>0.106459826199459</v>
      </c>
      <c r="O16" s="17">
        <v>0.12869539122832399</v>
      </c>
      <c r="P16" s="17">
        <v>7.4157977424244501E-2</v>
      </c>
      <c r="Q16" s="17">
        <v>0.13828769382883699</v>
      </c>
      <c r="R16" s="17">
        <v>6.1202255116724398E-2</v>
      </c>
      <c r="S16" s="17">
        <v>0.10892996411761401</v>
      </c>
      <c r="T16" s="17">
        <v>0.196196761404794</v>
      </c>
      <c r="U16" s="17">
        <v>6.9846513642540298E-2</v>
      </c>
      <c r="V16" s="17">
        <v>0.15650130181754801</v>
      </c>
      <c r="W16" s="17"/>
      <c r="X16" s="17">
        <v>0.12860157383526799</v>
      </c>
      <c r="Y16" s="17">
        <v>0.10207352739507899</v>
      </c>
    </row>
    <row r="17" spans="2:25" x14ac:dyDescent="0.35">
      <c r="B17" s="18" t="s">
        <v>65</v>
      </c>
      <c r="C17" s="17">
        <v>8.5633255043523801E-2</v>
      </c>
      <c r="D17" s="17">
        <v>8.6038956336353098E-2</v>
      </c>
      <c r="E17" s="17">
        <v>8.5593981435276703E-2</v>
      </c>
      <c r="F17" s="17"/>
      <c r="G17" s="17">
        <v>0.104204782634733</v>
      </c>
      <c r="H17" s="17">
        <v>0.103724484577112</v>
      </c>
      <c r="I17" s="17">
        <v>8.2909858820604906E-2</v>
      </c>
      <c r="J17" s="17">
        <v>7.6973908185097598E-2</v>
      </c>
      <c r="K17" s="17">
        <v>7.08261400838405E-2</v>
      </c>
      <c r="L17" s="17">
        <v>8.5422801341232396E-2</v>
      </c>
      <c r="M17" s="17"/>
      <c r="N17" s="17">
        <v>0.10607448642254801</v>
      </c>
      <c r="O17" s="17">
        <v>0.151506330165084</v>
      </c>
      <c r="P17" s="17">
        <v>4.6831765356804902E-2</v>
      </c>
      <c r="Q17" s="17">
        <v>9.67289231780568E-2</v>
      </c>
      <c r="R17" s="17">
        <v>6.2750889112869995E-2</v>
      </c>
      <c r="S17" s="17">
        <v>8.0848206874846396E-2</v>
      </c>
      <c r="T17" s="17">
        <v>0.174391201398234</v>
      </c>
      <c r="U17" s="17">
        <v>4.4606198326279697E-2</v>
      </c>
      <c r="V17" s="17">
        <v>6.1357796559332801E-2</v>
      </c>
      <c r="W17" s="17"/>
      <c r="X17" s="17">
        <v>8.0907256212359904E-2</v>
      </c>
      <c r="Y17" s="17">
        <v>8.8248464598135304E-2</v>
      </c>
    </row>
    <row r="18" spans="2:25" x14ac:dyDescent="0.35">
      <c r="B18" s="18" t="s">
        <v>60</v>
      </c>
      <c r="C18" s="17">
        <v>8.3568025153118897E-2</v>
      </c>
      <c r="D18" s="17">
        <v>9.2015439194222295E-2</v>
      </c>
      <c r="E18" s="17">
        <v>7.5950014551053796E-2</v>
      </c>
      <c r="F18" s="17"/>
      <c r="G18" s="17">
        <v>0.104489893988083</v>
      </c>
      <c r="H18" s="17">
        <v>9.2365007630117998E-2</v>
      </c>
      <c r="I18" s="17">
        <v>7.4261410420245394E-2</v>
      </c>
      <c r="J18" s="17">
        <v>7.6101829640587398E-2</v>
      </c>
      <c r="K18" s="17">
        <v>6.2779728983047303E-2</v>
      </c>
      <c r="L18" s="17">
        <v>9.5329368638078907E-2</v>
      </c>
      <c r="M18" s="17"/>
      <c r="N18" s="17">
        <v>9.1533806365287004E-2</v>
      </c>
      <c r="O18" s="17">
        <v>8.8823846911588802E-2</v>
      </c>
      <c r="P18" s="17">
        <v>7.2396807304994898E-2</v>
      </c>
      <c r="Q18" s="17">
        <v>8.53349109441396E-2</v>
      </c>
      <c r="R18" s="17">
        <v>6.7660744857883703E-2</v>
      </c>
      <c r="S18" s="17">
        <v>0.13162760794758499</v>
      </c>
      <c r="T18" s="17">
        <v>6.5514235744500104E-2</v>
      </c>
      <c r="U18" s="17">
        <v>7.4890516570573898E-2</v>
      </c>
      <c r="V18" s="17">
        <v>8.6634593207074104E-2</v>
      </c>
      <c r="W18" s="17"/>
      <c r="X18" s="17">
        <v>7.6443767663576301E-2</v>
      </c>
      <c r="Y18" s="17">
        <v>8.7510350769728601E-2</v>
      </c>
    </row>
    <row r="19" spans="2:25" x14ac:dyDescent="0.35">
      <c r="B19" s="18" t="s">
        <v>68</v>
      </c>
      <c r="C19" s="17">
        <v>7.5952871686417699E-3</v>
      </c>
      <c r="D19" s="17">
        <v>7.6900329519270401E-3</v>
      </c>
      <c r="E19" s="17">
        <v>7.5364852959080202E-3</v>
      </c>
      <c r="F19" s="17"/>
      <c r="G19" s="17">
        <v>5.6395644593775704E-3</v>
      </c>
      <c r="H19" s="17">
        <v>3.0201932239391498E-3</v>
      </c>
      <c r="I19" s="17">
        <v>6.7520918383097801E-3</v>
      </c>
      <c r="J19" s="17">
        <v>9.09341263267501E-3</v>
      </c>
      <c r="K19" s="17">
        <v>8.3276740587338704E-3</v>
      </c>
      <c r="L19" s="17">
        <v>1.0066546140703901E-2</v>
      </c>
      <c r="M19" s="17"/>
      <c r="N19" s="17">
        <v>0</v>
      </c>
      <c r="O19" s="17">
        <v>0</v>
      </c>
      <c r="P19" s="17">
        <v>5.72473201050049E-3</v>
      </c>
      <c r="Q19" s="17">
        <v>7.8542825439446608E-3</v>
      </c>
      <c r="R19" s="17">
        <v>1.3750179007993701E-2</v>
      </c>
      <c r="S19" s="17">
        <v>1.14012890181115E-2</v>
      </c>
      <c r="T19" s="17">
        <v>6.8546645854159803E-3</v>
      </c>
      <c r="U19" s="17">
        <v>5.1083894208788999E-3</v>
      </c>
      <c r="V19" s="17">
        <v>2.54640109804168E-3</v>
      </c>
      <c r="W19" s="17"/>
      <c r="X19" s="17">
        <v>6.8374268802069401E-3</v>
      </c>
      <c r="Y19" s="17">
        <v>8.0146616835709908E-3</v>
      </c>
    </row>
    <row r="20" spans="2:25" x14ac:dyDescent="0.35">
      <c r="B20" s="18" t="s">
        <v>69</v>
      </c>
      <c r="C20" s="19">
        <v>0.171696767868945</v>
      </c>
      <c r="D20" s="19">
        <v>0.12737381306582299</v>
      </c>
      <c r="E20" s="19">
        <v>0.213273441603896</v>
      </c>
      <c r="F20" s="19"/>
      <c r="G20" s="19">
        <v>0.106699455041133</v>
      </c>
      <c r="H20" s="19">
        <v>0.125823008331652</v>
      </c>
      <c r="I20" s="19">
        <v>0.15719054225300799</v>
      </c>
      <c r="J20" s="19">
        <v>0.182223100341599</v>
      </c>
      <c r="K20" s="19">
        <v>0.213222551308484</v>
      </c>
      <c r="L20" s="19">
        <v>0.19782070535579599</v>
      </c>
      <c r="M20" s="19"/>
      <c r="N20" s="19">
        <v>0.268522142515422</v>
      </c>
      <c r="O20" s="19">
        <v>0.139836941993733</v>
      </c>
      <c r="P20" s="19">
        <v>0.17365033252792</v>
      </c>
      <c r="Q20" s="19">
        <v>0.20449543646302601</v>
      </c>
      <c r="R20" s="19">
        <v>0.15895750568887099</v>
      </c>
      <c r="S20" s="19">
        <v>0.230866634453015</v>
      </c>
      <c r="T20" s="19">
        <v>0.136921241651177</v>
      </c>
      <c r="U20" s="19">
        <v>0.101260246707623</v>
      </c>
      <c r="V20" s="19">
        <v>0.198005993784856</v>
      </c>
      <c r="W20" s="19"/>
      <c r="X20" s="19">
        <v>0.11259930477102</v>
      </c>
      <c r="Y20" s="19">
        <v>0.204399325712983</v>
      </c>
    </row>
    <row r="21" spans="2:25" x14ac:dyDescent="0.35">
      <c r="B21" s="16"/>
    </row>
    <row r="22" spans="2:25" x14ac:dyDescent="0.35">
      <c r="B22" t="s">
        <v>51</v>
      </c>
    </row>
    <row r="23" spans="2:25" x14ac:dyDescent="0.35">
      <c r="B23" t="s">
        <v>52</v>
      </c>
    </row>
    <row r="25" spans="2:25" x14ac:dyDescent="0.35">
      <c r="B25" s="8" t="str">
        <f>HYPERLINK("#'Contents'!A1", "Return to Contents")</f>
        <v>Return to Contents</v>
      </c>
    </row>
  </sheetData>
  <mergeCells count="5">
    <mergeCell ref="D5:E5"/>
    <mergeCell ref="G5:L5"/>
    <mergeCell ref="N5:V5"/>
    <mergeCell ref="X5:Y5"/>
    <mergeCell ref="D2:W2"/>
  </mergeCells>
  <pageMargins left="0.7" right="0.7" top="0.75" bottom="0.75" header="0.3" footer="0.3"/>
  <pageSetup paperSize="9" orientation="portrait" horizontalDpi="300" verticalDpi="300"/>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2:F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6" width="20.7265625" customWidth="1"/>
  </cols>
  <sheetData>
    <row r="2" spans="2:6" ht="40" customHeight="1" x14ac:dyDescent="0.35">
      <c r="D2" s="30" t="s">
        <v>81</v>
      </c>
      <c r="E2" s="26"/>
      <c r="F2" s="26"/>
    </row>
    <row r="6" spans="2:6" ht="50" customHeight="1" x14ac:dyDescent="0.35">
      <c r="B6" s="20" t="s">
        <v>15</v>
      </c>
      <c r="C6" s="20" t="s">
        <v>72</v>
      </c>
      <c r="D6" s="20" t="s">
        <v>73</v>
      </c>
      <c r="E6" s="20" t="s">
        <v>74</v>
      </c>
    </row>
    <row r="7" spans="2:6" x14ac:dyDescent="0.35">
      <c r="B7" s="18" t="s">
        <v>75</v>
      </c>
      <c r="C7" s="17">
        <v>8.0452850815135396E-2</v>
      </c>
      <c r="D7" s="17">
        <v>0.104762760333348</v>
      </c>
      <c r="E7" s="17">
        <v>0.12619798362864201</v>
      </c>
    </row>
    <row r="8" spans="2:6" x14ac:dyDescent="0.35">
      <c r="B8" s="18" t="s">
        <v>76</v>
      </c>
      <c r="C8" s="17">
        <v>0.352913068134666</v>
      </c>
      <c r="D8" s="17">
        <v>0.38409659894105702</v>
      </c>
      <c r="E8" s="17">
        <v>0.470184588002244</v>
      </c>
    </row>
    <row r="9" spans="2:6" x14ac:dyDescent="0.35">
      <c r="B9" s="18" t="s">
        <v>77</v>
      </c>
      <c r="C9" s="17">
        <v>0.31907578174048101</v>
      </c>
      <c r="D9" s="17">
        <v>0.30973228819009901</v>
      </c>
      <c r="E9" s="17">
        <v>0.24243430161900301</v>
      </c>
    </row>
    <row r="10" spans="2:6" x14ac:dyDescent="0.35">
      <c r="B10" s="18" t="s">
        <v>78</v>
      </c>
      <c r="C10" s="17">
        <v>0.1354822981795</v>
      </c>
      <c r="D10" s="17">
        <v>0.114376091558684</v>
      </c>
      <c r="E10" s="17">
        <v>9.4381718154951694E-2</v>
      </c>
    </row>
    <row r="11" spans="2:6" x14ac:dyDescent="0.35">
      <c r="B11" s="18" t="s">
        <v>79</v>
      </c>
      <c r="C11" s="17">
        <v>5.7158771540744002E-2</v>
      </c>
      <c r="D11" s="17">
        <v>3.6254819415314603E-2</v>
      </c>
      <c r="E11" s="17">
        <v>3.0624804003537998E-2</v>
      </c>
    </row>
    <row r="12" spans="2:6" x14ac:dyDescent="0.35">
      <c r="B12" s="18" t="s">
        <v>80</v>
      </c>
      <c r="C12" s="17">
        <v>5.4917229589473301E-2</v>
      </c>
      <c r="D12" s="17">
        <v>5.0777441561497202E-2</v>
      </c>
      <c r="E12" s="17">
        <v>3.6176604591620899E-2</v>
      </c>
    </row>
    <row r="13" spans="2:6" x14ac:dyDescent="0.35">
      <c r="B13" s="16"/>
      <c r="C13" s="16"/>
      <c r="D13" s="16"/>
      <c r="E13" s="16"/>
    </row>
    <row r="14" spans="2:6" x14ac:dyDescent="0.35">
      <c r="B14" t="s">
        <v>51</v>
      </c>
    </row>
    <row r="15" spans="2:6" x14ac:dyDescent="0.35">
      <c r="B15" t="s">
        <v>52</v>
      </c>
    </row>
    <row r="19" spans="2:2" x14ac:dyDescent="0.35">
      <c r="B19" s="8" t="str">
        <f>HYPERLINK("#'Contents'!A1", "Return to Contents")</f>
        <v>Return to Contents</v>
      </c>
    </row>
  </sheetData>
  <mergeCells count="1">
    <mergeCell ref="D2:F2"/>
  </mergeCells>
  <pageMargins left="0.7" right="0.7" top="0.75" bottom="0.75" header="0.3" footer="0.3"/>
  <pageSetup paperSize="9" orientation="portrait" horizontalDpi="300" verticalDpi="300"/>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2:Y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s>
  <sheetData>
    <row r="2" spans="2:25" ht="40" customHeight="1" x14ac:dyDescent="0.35">
      <c r="D2" s="30" t="s">
        <v>82</v>
      </c>
      <c r="E2" s="26"/>
      <c r="F2" s="26"/>
      <c r="G2" s="26"/>
      <c r="H2" s="26"/>
      <c r="I2" s="26"/>
      <c r="J2" s="26"/>
      <c r="K2" s="26"/>
      <c r="L2" s="26"/>
      <c r="M2" s="26"/>
      <c r="N2" s="26"/>
      <c r="O2" s="26"/>
      <c r="P2" s="26"/>
      <c r="Q2" s="26"/>
      <c r="R2" s="26"/>
      <c r="S2" s="26"/>
      <c r="T2" s="26"/>
      <c r="U2" s="26"/>
      <c r="V2" s="26"/>
      <c r="W2" s="26"/>
    </row>
    <row r="5" spans="2:25" ht="30" customHeight="1" x14ac:dyDescent="0.35">
      <c r="B5" s="15"/>
      <c r="C5" s="15"/>
      <c r="D5" s="29" t="s">
        <v>38</v>
      </c>
      <c r="E5" s="29"/>
      <c r="F5" s="15"/>
      <c r="G5" s="29" t="s">
        <v>39</v>
      </c>
      <c r="H5" s="29"/>
      <c r="I5" s="29"/>
      <c r="J5" s="29"/>
      <c r="K5" s="29"/>
      <c r="L5" s="29"/>
      <c r="M5" s="15"/>
      <c r="N5" s="29" t="s">
        <v>40</v>
      </c>
      <c r="O5" s="29"/>
      <c r="P5" s="29"/>
      <c r="Q5" s="29"/>
      <c r="R5" s="29"/>
      <c r="S5" s="29"/>
      <c r="T5" s="29"/>
      <c r="U5" s="29"/>
      <c r="V5" s="29"/>
      <c r="W5" s="15"/>
      <c r="X5" s="29" t="s">
        <v>41</v>
      </c>
      <c r="Y5" s="29"/>
    </row>
    <row r="6" spans="2:25" ht="29"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row>
    <row r="7" spans="2:25" ht="30" customHeight="1" x14ac:dyDescent="0.35">
      <c r="B7" s="10" t="s">
        <v>19</v>
      </c>
      <c r="C7" s="10">
        <v>6838</v>
      </c>
      <c r="D7" s="10">
        <v>3283</v>
      </c>
      <c r="E7" s="10">
        <v>3541</v>
      </c>
      <c r="F7" s="10"/>
      <c r="G7" s="10">
        <v>635</v>
      </c>
      <c r="H7" s="10">
        <v>1075</v>
      </c>
      <c r="I7" s="10">
        <v>1093</v>
      </c>
      <c r="J7" s="10">
        <v>1228</v>
      </c>
      <c r="K7" s="10">
        <v>1156</v>
      </c>
      <c r="L7" s="10">
        <v>1651</v>
      </c>
      <c r="M7" s="10"/>
      <c r="N7" s="10">
        <v>208</v>
      </c>
      <c r="O7" s="10">
        <v>200</v>
      </c>
      <c r="P7" s="10">
        <v>1002</v>
      </c>
      <c r="Q7" s="10">
        <v>1000</v>
      </c>
      <c r="R7" s="10">
        <v>1004</v>
      </c>
      <c r="S7" s="10">
        <v>1006</v>
      </c>
      <c r="T7" s="10">
        <v>1006</v>
      </c>
      <c r="U7" s="10">
        <v>1007</v>
      </c>
      <c r="V7" s="10">
        <v>405</v>
      </c>
      <c r="W7" s="10"/>
      <c r="X7" s="10">
        <v>2650</v>
      </c>
      <c r="Y7" s="10">
        <v>4188</v>
      </c>
    </row>
    <row r="8" spans="2:25" ht="30" customHeight="1" x14ac:dyDescent="0.35">
      <c r="B8" s="11" t="s">
        <v>20</v>
      </c>
      <c r="C8" s="11">
        <v>6838</v>
      </c>
      <c r="D8" s="11">
        <v>3309</v>
      </c>
      <c r="E8" s="11">
        <v>3515</v>
      </c>
      <c r="F8" s="11"/>
      <c r="G8" s="11">
        <v>645</v>
      </c>
      <c r="H8" s="11">
        <v>1026</v>
      </c>
      <c r="I8" s="11">
        <v>1111</v>
      </c>
      <c r="J8" s="11">
        <v>1184</v>
      </c>
      <c r="K8" s="11">
        <v>1140</v>
      </c>
      <c r="L8" s="11">
        <v>1732</v>
      </c>
      <c r="M8" s="11"/>
      <c r="N8" s="11">
        <v>208</v>
      </c>
      <c r="O8" s="11">
        <v>200</v>
      </c>
      <c r="P8" s="11">
        <v>1002</v>
      </c>
      <c r="Q8" s="11">
        <v>1000</v>
      </c>
      <c r="R8" s="11">
        <v>1004</v>
      </c>
      <c r="S8" s="11">
        <v>1006</v>
      </c>
      <c r="T8" s="11">
        <v>1006</v>
      </c>
      <c r="U8" s="11">
        <v>1007</v>
      </c>
      <c r="V8" s="11">
        <v>405</v>
      </c>
      <c r="W8" s="11"/>
      <c r="X8" s="11">
        <v>2436</v>
      </c>
      <c r="Y8" s="11">
        <v>4402</v>
      </c>
    </row>
    <row r="9" spans="2:25" x14ac:dyDescent="0.35">
      <c r="B9" s="18" t="s">
        <v>75</v>
      </c>
      <c r="C9" s="17">
        <v>8.0452850815135396E-2</v>
      </c>
      <c r="D9" s="17">
        <v>9.5443778311220806E-2</v>
      </c>
      <c r="E9" s="17">
        <v>6.6662307665352694E-2</v>
      </c>
      <c r="F9" s="17"/>
      <c r="G9" s="17">
        <v>9.2997796903615204E-2</v>
      </c>
      <c r="H9" s="17">
        <v>9.6956490158355502E-2</v>
      </c>
      <c r="I9" s="17">
        <v>9.6045910550987296E-2</v>
      </c>
      <c r="J9" s="17">
        <v>7.8165203569067102E-2</v>
      </c>
      <c r="K9" s="17">
        <v>7.6480297978240699E-2</v>
      </c>
      <c r="L9" s="17">
        <v>6.0190245682533998E-2</v>
      </c>
      <c r="M9" s="17"/>
      <c r="N9" s="17">
        <v>0.21882299669974101</v>
      </c>
      <c r="O9" s="17">
        <v>3.8143702851322001E-2</v>
      </c>
      <c r="P9" s="17">
        <v>9.7849850180875303E-2</v>
      </c>
      <c r="Q9" s="17">
        <v>5.5045890546335102E-2</v>
      </c>
      <c r="R9" s="17">
        <v>2.13515067410497E-2</v>
      </c>
      <c r="S9" s="17">
        <v>9.5699215181021605E-2</v>
      </c>
      <c r="T9" s="17">
        <v>0.121659978131319</v>
      </c>
      <c r="U9" s="17">
        <v>6.3944661079752399E-2</v>
      </c>
      <c r="V9" s="17">
        <v>9.7305418802404994E-2</v>
      </c>
      <c r="W9" s="17"/>
      <c r="X9" s="17">
        <v>0.110128309400767</v>
      </c>
      <c r="Y9" s="17">
        <v>6.4031445393097297E-2</v>
      </c>
    </row>
    <row r="10" spans="2:25" x14ac:dyDescent="0.35">
      <c r="B10" s="18" t="s">
        <v>76</v>
      </c>
      <c r="C10" s="17">
        <v>0.352913068134666</v>
      </c>
      <c r="D10" s="17">
        <v>0.37877146416819601</v>
      </c>
      <c r="E10" s="17">
        <v>0.32972578454266199</v>
      </c>
      <c r="F10" s="17"/>
      <c r="G10" s="17">
        <v>0.389340916326534</v>
      </c>
      <c r="H10" s="17">
        <v>0.35627313853370002</v>
      </c>
      <c r="I10" s="17">
        <v>0.34895436888300002</v>
      </c>
      <c r="J10" s="17">
        <v>0.34594715216808902</v>
      </c>
      <c r="K10" s="17">
        <v>0.33174817666550699</v>
      </c>
      <c r="L10" s="17">
        <v>0.35859806445704401</v>
      </c>
      <c r="M10" s="17"/>
      <c r="N10" s="17">
        <v>0.456659937761211</v>
      </c>
      <c r="O10" s="17">
        <v>0.46425225941523202</v>
      </c>
      <c r="P10" s="17">
        <v>0.32738604829185602</v>
      </c>
      <c r="Q10" s="17">
        <v>0.34311863750946697</v>
      </c>
      <c r="R10" s="17">
        <v>0.169101715179092</v>
      </c>
      <c r="S10" s="17">
        <v>0.48757186314724599</v>
      </c>
      <c r="T10" s="17">
        <v>0.40114357072594298</v>
      </c>
      <c r="U10" s="17">
        <v>0.307714519837687</v>
      </c>
      <c r="V10" s="17">
        <v>0.44575311870807899</v>
      </c>
      <c r="W10" s="17"/>
      <c r="X10" s="17">
        <v>0.40543466483111701</v>
      </c>
      <c r="Y10" s="17">
        <v>0.323849374635998</v>
      </c>
    </row>
    <row r="11" spans="2:25" x14ac:dyDescent="0.35">
      <c r="B11" s="18" t="s">
        <v>77</v>
      </c>
      <c r="C11" s="17">
        <v>0.31907578174048101</v>
      </c>
      <c r="D11" s="17">
        <v>0.30864872739744798</v>
      </c>
      <c r="E11" s="17">
        <v>0.327887282327253</v>
      </c>
      <c r="F11" s="17"/>
      <c r="G11" s="17">
        <v>0.30308138981517102</v>
      </c>
      <c r="H11" s="17">
        <v>0.31225474311472001</v>
      </c>
      <c r="I11" s="17">
        <v>0.28518975518412698</v>
      </c>
      <c r="J11" s="17">
        <v>0.31449951239252999</v>
      </c>
      <c r="K11" s="17">
        <v>0.33039982437821602</v>
      </c>
      <c r="L11" s="17">
        <v>0.34647576241272499</v>
      </c>
      <c r="M11" s="17"/>
      <c r="N11" s="17">
        <v>0.23737984375009899</v>
      </c>
      <c r="O11" s="17">
        <v>0.28340388151232199</v>
      </c>
      <c r="P11" s="17">
        <v>0.30344838411326902</v>
      </c>
      <c r="Q11" s="17">
        <v>0.37408823032879301</v>
      </c>
      <c r="R11" s="17">
        <v>0.38389923418384098</v>
      </c>
      <c r="S11" s="17">
        <v>0.240776379576746</v>
      </c>
      <c r="T11" s="17">
        <v>0.32966793460128602</v>
      </c>
      <c r="U11" s="17">
        <v>0.31487928419827799</v>
      </c>
      <c r="V11" s="17">
        <v>0.29939666705504803</v>
      </c>
      <c r="W11" s="17"/>
      <c r="X11" s="17">
        <v>0.28738439730882698</v>
      </c>
      <c r="Y11" s="17">
        <v>0.33661273304440698</v>
      </c>
    </row>
    <row r="12" spans="2:25" x14ac:dyDescent="0.35">
      <c r="B12" s="18" t="s">
        <v>78</v>
      </c>
      <c r="C12" s="17">
        <v>0.1354822981795</v>
      </c>
      <c r="D12" s="17">
        <v>0.131280302457847</v>
      </c>
      <c r="E12" s="17">
        <v>0.13913056654640299</v>
      </c>
      <c r="F12" s="17"/>
      <c r="G12" s="17">
        <v>0.13430093779704499</v>
      </c>
      <c r="H12" s="17">
        <v>0.14384652892865099</v>
      </c>
      <c r="I12" s="17">
        <v>0.14000150093885699</v>
      </c>
      <c r="J12" s="17">
        <v>0.13351895260234101</v>
      </c>
      <c r="K12" s="17">
        <v>0.14204029832189199</v>
      </c>
      <c r="L12" s="17">
        <v>0.125096630775442</v>
      </c>
      <c r="M12" s="17"/>
      <c r="N12" s="17">
        <v>3.3455394408800597E-2</v>
      </c>
      <c r="O12" s="17">
        <v>6.4669692746237503E-2</v>
      </c>
      <c r="P12" s="17">
        <v>0.16596931856376401</v>
      </c>
      <c r="Q12" s="17">
        <v>0.121920420186361</v>
      </c>
      <c r="R12" s="17">
        <v>0.25872551304906999</v>
      </c>
      <c r="S12" s="17">
        <v>7.2236509977357893E-2</v>
      </c>
      <c r="T12" s="17">
        <v>8.0091164093224906E-2</v>
      </c>
      <c r="U12" s="17">
        <v>0.17903312674481001</v>
      </c>
      <c r="V12" s="17">
        <v>6.1790625011347203E-2</v>
      </c>
      <c r="W12" s="17"/>
      <c r="X12" s="17">
        <v>0.113223732602156</v>
      </c>
      <c r="Y12" s="17">
        <v>0.14779944328456601</v>
      </c>
    </row>
    <row r="13" spans="2:25" x14ac:dyDescent="0.35">
      <c r="B13" s="18" t="s">
        <v>79</v>
      </c>
      <c r="C13" s="17">
        <v>5.7158771540744002E-2</v>
      </c>
      <c r="D13" s="17">
        <v>5.27613742091892E-2</v>
      </c>
      <c r="E13" s="17">
        <v>6.11889230743905E-2</v>
      </c>
      <c r="F13" s="17"/>
      <c r="G13" s="17">
        <v>2.5975932356439298E-2</v>
      </c>
      <c r="H13" s="17">
        <v>4.6874035414524701E-2</v>
      </c>
      <c r="I13" s="17">
        <v>6.8167166199855994E-2</v>
      </c>
      <c r="J13" s="17">
        <v>6.6482883699383405E-2</v>
      </c>
      <c r="K13" s="17">
        <v>6.3755246409350694E-2</v>
      </c>
      <c r="L13" s="17">
        <v>5.7076858095106001E-2</v>
      </c>
      <c r="M13" s="17"/>
      <c r="N13" s="17">
        <v>4.4363435696254403E-3</v>
      </c>
      <c r="O13" s="17">
        <v>2.8644514433600599E-2</v>
      </c>
      <c r="P13" s="17">
        <v>4.5705783582150897E-2</v>
      </c>
      <c r="Q13" s="17">
        <v>4.96699568356831E-2</v>
      </c>
      <c r="R13" s="17">
        <v>0.108186337481653</v>
      </c>
      <c r="S13" s="17">
        <v>2.6904051260473801E-2</v>
      </c>
      <c r="T13" s="17">
        <v>4.4498502433329201E-2</v>
      </c>
      <c r="U13" s="17">
        <v>9.92984271309022E-2</v>
      </c>
      <c r="V13" s="17">
        <v>2.0467401217388902E-2</v>
      </c>
      <c r="W13" s="17"/>
      <c r="X13" s="17">
        <v>4.2962169918130802E-2</v>
      </c>
      <c r="Y13" s="17">
        <v>6.5014695660244398E-2</v>
      </c>
    </row>
    <row r="14" spans="2:25" x14ac:dyDescent="0.35">
      <c r="B14" s="18" t="s">
        <v>80</v>
      </c>
      <c r="C14" s="19">
        <v>5.4917229589473301E-2</v>
      </c>
      <c r="D14" s="19">
        <v>3.30943534560992E-2</v>
      </c>
      <c r="E14" s="19">
        <v>7.5405135843939403E-2</v>
      </c>
      <c r="F14" s="19"/>
      <c r="G14" s="19">
        <v>5.4303026801196502E-2</v>
      </c>
      <c r="H14" s="19">
        <v>4.3795063850048603E-2</v>
      </c>
      <c r="I14" s="19">
        <v>6.1641298243171799E-2</v>
      </c>
      <c r="J14" s="19">
        <v>6.1386295568588899E-2</v>
      </c>
      <c r="K14" s="19">
        <v>5.5576156246793601E-2</v>
      </c>
      <c r="L14" s="19">
        <v>5.2562438577149297E-2</v>
      </c>
      <c r="M14" s="19"/>
      <c r="N14" s="19">
        <v>4.9245483810523398E-2</v>
      </c>
      <c r="O14" s="19">
        <v>0.12088594904128599</v>
      </c>
      <c r="P14" s="19">
        <v>5.9640615268084098E-2</v>
      </c>
      <c r="Q14" s="19">
        <v>5.6156864593360903E-2</v>
      </c>
      <c r="R14" s="19">
        <v>5.8735693365294502E-2</v>
      </c>
      <c r="S14" s="19">
        <v>7.6811980857154294E-2</v>
      </c>
      <c r="T14" s="19">
        <v>2.2938850014897299E-2</v>
      </c>
      <c r="U14" s="19">
        <v>3.5129981008569802E-2</v>
      </c>
      <c r="V14" s="19">
        <v>7.5286769205732101E-2</v>
      </c>
      <c r="W14" s="19"/>
      <c r="X14" s="19">
        <v>4.0866725939002903E-2</v>
      </c>
      <c r="Y14" s="19">
        <v>6.26923079816879E-2</v>
      </c>
    </row>
    <row r="15" spans="2:25" x14ac:dyDescent="0.35">
      <c r="B15" s="16"/>
    </row>
    <row r="16" spans="2:25" x14ac:dyDescent="0.35">
      <c r="B16" t="s">
        <v>51</v>
      </c>
    </row>
    <row r="17" spans="2:2" x14ac:dyDescent="0.35">
      <c r="B17" t="s">
        <v>52</v>
      </c>
    </row>
    <row r="19" spans="2:2" x14ac:dyDescent="0.35">
      <c r="B19" s="8" t="str">
        <f>HYPERLINK("#'Contents'!A1", "Return to Contents")</f>
        <v>Return to Contents</v>
      </c>
    </row>
  </sheetData>
  <mergeCells count="5">
    <mergeCell ref="D5:E5"/>
    <mergeCell ref="G5:L5"/>
    <mergeCell ref="N5:V5"/>
    <mergeCell ref="X5:Y5"/>
    <mergeCell ref="D2:W2"/>
  </mergeCells>
  <pageMargins left="0.7" right="0.7" top="0.75" bottom="0.75" header="0.3" footer="0.3"/>
  <pageSetup paperSize="9" orientation="portrait" horizontalDpi="300" verticalDpi="300"/>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2:Y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s>
  <sheetData>
    <row r="2" spans="2:25" ht="40" customHeight="1" x14ac:dyDescent="0.35">
      <c r="D2" s="30" t="s">
        <v>83</v>
      </c>
      <c r="E2" s="26"/>
      <c r="F2" s="26"/>
      <c r="G2" s="26"/>
      <c r="H2" s="26"/>
      <c r="I2" s="26"/>
      <c r="J2" s="26"/>
      <c r="K2" s="26"/>
      <c r="L2" s="26"/>
      <c r="M2" s="26"/>
      <c r="N2" s="26"/>
      <c r="O2" s="26"/>
      <c r="P2" s="26"/>
      <c r="Q2" s="26"/>
      <c r="R2" s="26"/>
      <c r="S2" s="26"/>
      <c r="T2" s="26"/>
      <c r="U2" s="26"/>
      <c r="V2" s="26"/>
      <c r="W2" s="26"/>
    </row>
    <row r="5" spans="2:25" ht="30" customHeight="1" x14ac:dyDescent="0.35">
      <c r="B5" s="15"/>
      <c r="C5" s="15"/>
      <c r="D5" s="29" t="s">
        <v>38</v>
      </c>
      <c r="E5" s="29"/>
      <c r="F5" s="15"/>
      <c r="G5" s="29" t="s">
        <v>39</v>
      </c>
      <c r="H5" s="29"/>
      <c r="I5" s="29"/>
      <c r="J5" s="29"/>
      <c r="K5" s="29"/>
      <c r="L5" s="29"/>
      <c r="M5" s="15"/>
      <c r="N5" s="29" t="s">
        <v>40</v>
      </c>
      <c r="O5" s="29"/>
      <c r="P5" s="29"/>
      <c r="Q5" s="29"/>
      <c r="R5" s="29"/>
      <c r="S5" s="29"/>
      <c r="T5" s="29"/>
      <c r="U5" s="29"/>
      <c r="V5" s="29"/>
      <c r="W5" s="15"/>
      <c r="X5" s="29" t="s">
        <v>41</v>
      </c>
      <c r="Y5" s="29"/>
    </row>
    <row r="6" spans="2:25" ht="29"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row>
    <row r="7" spans="2:25" ht="30" customHeight="1" x14ac:dyDescent="0.35">
      <c r="B7" s="10" t="s">
        <v>19</v>
      </c>
      <c r="C7" s="10">
        <v>6838</v>
      </c>
      <c r="D7" s="10">
        <v>3283</v>
      </c>
      <c r="E7" s="10">
        <v>3541</v>
      </c>
      <c r="F7" s="10"/>
      <c r="G7" s="10">
        <v>635</v>
      </c>
      <c r="H7" s="10">
        <v>1075</v>
      </c>
      <c r="I7" s="10">
        <v>1093</v>
      </c>
      <c r="J7" s="10">
        <v>1228</v>
      </c>
      <c r="K7" s="10">
        <v>1156</v>
      </c>
      <c r="L7" s="10">
        <v>1651</v>
      </c>
      <c r="M7" s="10"/>
      <c r="N7" s="10">
        <v>208</v>
      </c>
      <c r="O7" s="10">
        <v>200</v>
      </c>
      <c r="P7" s="10">
        <v>1002</v>
      </c>
      <c r="Q7" s="10">
        <v>1000</v>
      </c>
      <c r="R7" s="10">
        <v>1004</v>
      </c>
      <c r="S7" s="10">
        <v>1006</v>
      </c>
      <c r="T7" s="10">
        <v>1006</v>
      </c>
      <c r="U7" s="10">
        <v>1007</v>
      </c>
      <c r="V7" s="10">
        <v>405</v>
      </c>
      <c r="W7" s="10"/>
      <c r="X7" s="10">
        <v>2650</v>
      </c>
      <c r="Y7" s="10">
        <v>4188</v>
      </c>
    </row>
    <row r="8" spans="2:25" ht="30" customHeight="1" x14ac:dyDescent="0.35">
      <c r="B8" s="11" t="s">
        <v>20</v>
      </c>
      <c r="C8" s="11">
        <v>6838</v>
      </c>
      <c r="D8" s="11">
        <v>3309</v>
      </c>
      <c r="E8" s="11">
        <v>3515</v>
      </c>
      <c r="F8" s="11"/>
      <c r="G8" s="11">
        <v>645</v>
      </c>
      <c r="H8" s="11">
        <v>1026</v>
      </c>
      <c r="I8" s="11">
        <v>1111</v>
      </c>
      <c r="J8" s="11">
        <v>1184</v>
      </c>
      <c r="K8" s="11">
        <v>1140</v>
      </c>
      <c r="L8" s="11">
        <v>1732</v>
      </c>
      <c r="M8" s="11"/>
      <c r="N8" s="11">
        <v>208</v>
      </c>
      <c r="O8" s="11">
        <v>200</v>
      </c>
      <c r="P8" s="11">
        <v>1002</v>
      </c>
      <c r="Q8" s="11">
        <v>1000</v>
      </c>
      <c r="R8" s="11">
        <v>1004</v>
      </c>
      <c r="S8" s="11">
        <v>1006</v>
      </c>
      <c r="T8" s="11">
        <v>1006</v>
      </c>
      <c r="U8" s="11">
        <v>1007</v>
      </c>
      <c r="V8" s="11">
        <v>405</v>
      </c>
      <c r="W8" s="11"/>
      <c r="X8" s="11">
        <v>2436</v>
      </c>
      <c r="Y8" s="11">
        <v>4402</v>
      </c>
    </row>
    <row r="9" spans="2:25" x14ac:dyDescent="0.35">
      <c r="B9" s="18" t="s">
        <v>75</v>
      </c>
      <c r="C9" s="17">
        <v>0.104762760333348</v>
      </c>
      <c r="D9" s="17">
        <v>0.119430613148413</v>
      </c>
      <c r="E9" s="17">
        <v>9.05602269911569E-2</v>
      </c>
      <c r="F9" s="17"/>
      <c r="G9" s="17">
        <v>0.14343242416746099</v>
      </c>
      <c r="H9" s="17">
        <v>0.15239048295025201</v>
      </c>
      <c r="I9" s="17">
        <v>0.11814854938248801</v>
      </c>
      <c r="J9" s="17">
        <v>9.1646016918511E-2</v>
      </c>
      <c r="K9" s="17">
        <v>8.2022391299509695E-2</v>
      </c>
      <c r="L9" s="17">
        <v>7.7522188799131503E-2</v>
      </c>
      <c r="M9" s="17"/>
      <c r="N9" s="17">
        <v>8.6173821628889799E-2</v>
      </c>
      <c r="O9" s="17">
        <v>2.0656761835880499E-2</v>
      </c>
      <c r="P9" s="17">
        <v>9.0867023804569305E-2</v>
      </c>
      <c r="Q9" s="17">
        <v>0.24115889272921301</v>
      </c>
      <c r="R9" s="17">
        <v>6.5861279063379005E-2</v>
      </c>
      <c r="S9" s="17">
        <v>5.9312464398857102E-2</v>
      </c>
      <c r="T9" s="17">
        <v>8.9623949776769907E-2</v>
      </c>
      <c r="U9" s="17">
        <v>8.4430395286730603E-2</v>
      </c>
      <c r="V9" s="17">
        <v>0.150934401032122</v>
      </c>
      <c r="W9" s="17"/>
      <c r="X9" s="17">
        <v>0.109771171821857</v>
      </c>
      <c r="Y9" s="17">
        <v>0.101991273067672</v>
      </c>
    </row>
    <row r="10" spans="2:25" x14ac:dyDescent="0.35">
      <c r="B10" s="18" t="s">
        <v>76</v>
      </c>
      <c r="C10" s="17">
        <v>0.38409659894105702</v>
      </c>
      <c r="D10" s="17">
        <v>0.38592272230707803</v>
      </c>
      <c r="E10" s="17">
        <v>0.38335792191463702</v>
      </c>
      <c r="F10" s="17"/>
      <c r="G10" s="17">
        <v>0.44328707673182399</v>
      </c>
      <c r="H10" s="17">
        <v>0.40675620066503898</v>
      </c>
      <c r="I10" s="17">
        <v>0.39153342722434198</v>
      </c>
      <c r="J10" s="17">
        <v>0.38427773956897898</v>
      </c>
      <c r="K10" s="17">
        <v>0.36217226458303098</v>
      </c>
      <c r="L10" s="17">
        <v>0.35819177829966897</v>
      </c>
      <c r="M10" s="17"/>
      <c r="N10" s="17">
        <v>0.277229390804131</v>
      </c>
      <c r="O10" s="17">
        <v>0.19683884378688199</v>
      </c>
      <c r="P10" s="17">
        <v>0.39939866832653598</v>
      </c>
      <c r="Q10" s="17">
        <v>0.42194846491400501</v>
      </c>
      <c r="R10" s="17">
        <v>0.38113741117512201</v>
      </c>
      <c r="S10" s="17">
        <v>0.33653508445786201</v>
      </c>
      <c r="T10" s="17">
        <v>0.41709241809009101</v>
      </c>
      <c r="U10" s="17">
        <v>0.385619075231662</v>
      </c>
      <c r="V10" s="17">
        <v>0.43986541677968299</v>
      </c>
      <c r="W10" s="17"/>
      <c r="X10" s="17">
        <v>0.37840879039840097</v>
      </c>
      <c r="Y10" s="17">
        <v>0.387244041794294</v>
      </c>
    </row>
    <row r="11" spans="2:25" x14ac:dyDescent="0.35">
      <c r="B11" s="18" t="s">
        <v>77</v>
      </c>
      <c r="C11" s="17">
        <v>0.30973228819009901</v>
      </c>
      <c r="D11" s="17">
        <v>0.29920574183173698</v>
      </c>
      <c r="E11" s="17">
        <v>0.31972687320650101</v>
      </c>
      <c r="F11" s="17"/>
      <c r="G11" s="17">
        <v>0.26681431047218901</v>
      </c>
      <c r="H11" s="17">
        <v>0.29087857584229398</v>
      </c>
      <c r="I11" s="17">
        <v>0.26800619093429401</v>
      </c>
      <c r="J11" s="17">
        <v>0.29346795311490398</v>
      </c>
      <c r="K11" s="17">
        <v>0.34373293136348698</v>
      </c>
      <c r="L11" s="17">
        <v>0.352364839183542</v>
      </c>
      <c r="M11" s="17"/>
      <c r="N11" s="17">
        <v>0.33831485274623102</v>
      </c>
      <c r="O11" s="17">
        <v>0.47581389159806498</v>
      </c>
      <c r="P11" s="17">
        <v>0.29057004177261098</v>
      </c>
      <c r="Q11" s="17">
        <v>0.20284305735515401</v>
      </c>
      <c r="R11" s="17">
        <v>0.32386817766551401</v>
      </c>
      <c r="S11" s="17">
        <v>0.36962812343394702</v>
      </c>
      <c r="T11" s="17">
        <v>0.31986698905299499</v>
      </c>
      <c r="U11" s="17">
        <v>0.333258310194121</v>
      </c>
      <c r="V11" s="17">
        <v>0.25687908108206903</v>
      </c>
      <c r="W11" s="17"/>
      <c r="X11" s="17">
        <v>0.30612543061680098</v>
      </c>
      <c r="Y11" s="17">
        <v>0.311728202434853</v>
      </c>
    </row>
    <row r="12" spans="2:25" x14ac:dyDescent="0.35">
      <c r="B12" s="18" t="s">
        <v>78</v>
      </c>
      <c r="C12" s="17">
        <v>0.114376091558684</v>
      </c>
      <c r="D12" s="17">
        <v>0.12357817876888399</v>
      </c>
      <c r="E12" s="17">
        <v>0.105861324826865</v>
      </c>
      <c r="F12" s="17"/>
      <c r="G12" s="17">
        <v>8.64865480760897E-2</v>
      </c>
      <c r="H12" s="17">
        <v>7.4429634141806603E-2</v>
      </c>
      <c r="I12" s="17">
        <v>0.114790763802295</v>
      </c>
      <c r="J12" s="17">
        <v>0.130598276178235</v>
      </c>
      <c r="K12" s="17">
        <v>0.13595963772537001</v>
      </c>
      <c r="L12" s="17">
        <v>0.122844682797513</v>
      </c>
      <c r="M12" s="17"/>
      <c r="N12" s="17">
        <v>0.13726306379021</v>
      </c>
      <c r="O12" s="17">
        <v>0.21442671891402601</v>
      </c>
      <c r="P12" s="17">
        <v>0.14896023384478199</v>
      </c>
      <c r="Q12" s="17">
        <v>7.4739928373744699E-2</v>
      </c>
      <c r="R12" s="17">
        <v>0.12787499771052199</v>
      </c>
      <c r="S12" s="17">
        <v>0.12212166806602399</v>
      </c>
      <c r="T12" s="17">
        <v>8.2714053226449799E-2</v>
      </c>
      <c r="U12" s="17">
        <v>0.119241068073684</v>
      </c>
      <c r="V12" s="17">
        <v>7.9364398689139207E-2</v>
      </c>
      <c r="W12" s="17"/>
      <c r="X12" s="17">
        <v>0.13073721290808499</v>
      </c>
      <c r="Y12" s="17">
        <v>0.105322394677727</v>
      </c>
    </row>
    <row r="13" spans="2:25" x14ac:dyDescent="0.35">
      <c r="B13" s="18" t="s">
        <v>79</v>
      </c>
      <c r="C13" s="17">
        <v>3.6254819415314603E-2</v>
      </c>
      <c r="D13" s="17">
        <v>4.3821946483344497E-2</v>
      </c>
      <c r="E13" s="17">
        <v>2.8423151468679301E-2</v>
      </c>
      <c r="F13" s="17"/>
      <c r="G13" s="17">
        <v>1.45867219076677E-2</v>
      </c>
      <c r="H13" s="17">
        <v>3.2471676876178197E-2</v>
      </c>
      <c r="I13" s="17">
        <v>4.9993625458572798E-2</v>
      </c>
      <c r="J13" s="17">
        <v>3.5038318796214898E-2</v>
      </c>
      <c r="K13" s="17">
        <v>3.3204184183106597E-2</v>
      </c>
      <c r="L13" s="17">
        <v>4.0584582363619399E-2</v>
      </c>
      <c r="M13" s="17"/>
      <c r="N13" s="17">
        <v>6.17089536915367E-2</v>
      </c>
      <c r="O13" s="17">
        <v>3.1767227817228898E-2</v>
      </c>
      <c r="P13" s="17">
        <v>2.6634400618793599E-2</v>
      </c>
      <c r="Q13" s="17">
        <v>2.5098595503778E-2</v>
      </c>
      <c r="R13" s="17">
        <v>4.9780692288363203E-2</v>
      </c>
      <c r="S13" s="17">
        <v>2.47183938523656E-2</v>
      </c>
      <c r="T13" s="17">
        <v>5.5643739636143899E-2</v>
      </c>
      <c r="U13" s="17">
        <v>3.7894962504741503E-2</v>
      </c>
      <c r="V13" s="17">
        <v>1.96319351051722E-2</v>
      </c>
      <c r="W13" s="17"/>
      <c r="X13" s="17">
        <v>3.3824531733678997E-2</v>
      </c>
      <c r="Y13" s="17">
        <v>3.7599659266640301E-2</v>
      </c>
    </row>
    <row r="14" spans="2:25" x14ac:dyDescent="0.35">
      <c r="B14" s="18" t="s">
        <v>80</v>
      </c>
      <c r="C14" s="19">
        <v>5.0777441561497202E-2</v>
      </c>
      <c r="D14" s="19">
        <v>2.80407974605449E-2</v>
      </c>
      <c r="E14" s="19">
        <v>7.2070501592160593E-2</v>
      </c>
      <c r="F14" s="19"/>
      <c r="G14" s="19">
        <v>4.5392918644768403E-2</v>
      </c>
      <c r="H14" s="19">
        <v>4.3073429524429503E-2</v>
      </c>
      <c r="I14" s="19">
        <v>5.7527443198008198E-2</v>
      </c>
      <c r="J14" s="19">
        <v>6.4971695423156298E-2</v>
      </c>
      <c r="K14" s="19">
        <v>4.2908590845495399E-2</v>
      </c>
      <c r="L14" s="19">
        <v>4.8491928556525697E-2</v>
      </c>
      <c r="M14" s="19"/>
      <c r="N14" s="19">
        <v>9.9309917339001103E-2</v>
      </c>
      <c r="O14" s="19">
        <v>6.0496556047917302E-2</v>
      </c>
      <c r="P14" s="19">
        <v>4.3569631632708099E-2</v>
      </c>
      <c r="Q14" s="19">
        <v>3.4211061124105199E-2</v>
      </c>
      <c r="R14" s="19">
        <v>5.1477442097099799E-2</v>
      </c>
      <c r="S14" s="19">
        <v>8.7684265790945598E-2</v>
      </c>
      <c r="T14" s="19">
        <v>3.5058850217550397E-2</v>
      </c>
      <c r="U14" s="19">
        <v>3.9556188709059997E-2</v>
      </c>
      <c r="V14" s="19">
        <v>5.3324767311814701E-2</v>
      </c>
      <c r="W14" s="19"/>
      <c r="X14" s="19">
        <v>4.1132862521177198E-2</v>
      </c>
      <c r="Y14" s="19">
        <v>5.6114428758812902E-2</v>
      </c>
    </row>
    <row r="15" spans="2:25" x14ac:dyDescent="0.35">
      <c r="B15" s="16"/>
    </row>
    <row r="16" spans="2:25" x14ac:dyDescent="0.35">
      <c r="B16" t="s">
        <v>51</v>
      </c>
    </row>
    <row r="17" spans="2:2" x14ac:dyDescent="0.35">
      <c r="B17" t="s">
        <v>52</v>
      </c>
    </row>
    <row r="19" spans="2:2" x14ac:dyDescent="0.35">
      <c r="B19" s="8" t="str">
        <f>HYPERLINK("#'Contents'!A1", "Return to Contents")</f>
        <v>Return to Contents</v>
      </c>
    </row>
  </sheetData>
  <mergeCells count="5">
    <mergeCell ref="D5:E5"/>
    <mergeCell ref="G5:L5"/>
    <mergeCell ref="N5:V5"/>
    <mergeCell ref="X5:Y5"/>
    <mergeCell ref="D2:W2"/>
  </mergeCells>
  <pageMargins left="0.7" right="0.7" top="0.75" bottom="0.75" header="0.3" footer="0.3"/>
  <pageSetup paperSize="9" orientation="portrait" horizontalDpi="300" verticalDpi="300"/>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2:Y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s>
  <sheetData>
    <row r="2" spans="2:25" ht="40" customHeight="1" x14ac:dyDescent="0.35">
      <c r="D2" s="30" t="s">
        <v>84</v>
      </c>
      <c r="E2" s="26"/>
      <c r="F2" s="26"/>
      <c r="G2" s="26"/>
      <c r="H2" s="26"/>
      <c r="I2" s="26"/>
      <c r="J2" s="26"/>
      <c r="K2" s="26"/>
      <c r="L2" s="26"/>
      <c r="M2" s="26"/>
      <c r="N2" s="26"/>
      <c r="O2" s="26"/>
      <c r="P2" s="26"/>
      <c r="Q2" s="26"/>
      <c r="R2" s="26"/>
      <c r="S2" s="26"/>
      <c r="T2" s="26"/>
      <c r="U2" s="26"/>
      <c r="V2" s="26"/>
      <c r="W2" s="26"/>
    </row>
    <row r="5" spans="2:25" ht="30" customHeight="1" x14ac:dyDescent="0.35">
      <c r="B5" s="15"/>
      <c r="C5" s="15"/>
      <c r="D5" s="29" t="s">
        <v>38</v>
      </c>
      <c r="E5" s="29"/>
      <c r="F5" s="15"/>
      <c r="G5" s="29" t="s">
        <v>39</v>
      </c>
      <c r="H5" s="29"/>
      <c r="I5" s="29"/>
      <c r="J5" s="29"/>
      <c r="K5" s="29"/>
      <c r="L5" s="29"/>
      <c r="M5" s="15"/>
      <c r="N5" s="29" t="s">
        <v>40</v>
      </c>
      <c r="O5" s="29"/>
      <c r="P5" s="29"/>
      <c r="Q5" s="29"/>
      <c r="R5" s="29"/>
      <c r="S5" s="29"/>
      <c r="T5" s="29"/>
      <c r="U5" s="29"/>
      <c r="V5" s="29"/>
      <c r="W5" s="15"/>
      <c r="X5" s="29" t="s">
        <v>41</v>
      </c>
      <c r="Y5" s="29"/>
    </row>
    <row r="6" spans="2:25" ht="29"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row>
    <row r="7" spans="2:25" ht="30" customHeight="1" x14ac:dyDescent="0.35">
      <c r="B7" s="10" t="s">
        <v>19</v>
      </c>
      <c r="C7" s="10">
        <v>6838</v>
      </c>
      <c r="D7" s="10">
        <v>3283</v>
      </c>
      <c r="E7" s="10">
        <v>3541</v>
      </c>
      <c r="F7" s="10"/>
      <c r="G7" s="10">
        <v>635</v>
      </c>
      <c r="H7" s="10">
        <v>1075</v>
      </c>
      <c r="I7" s="10">
        <v>1093</v>
      </c>
      <c r="J7" s="10">
        <v>1228</v>
      </c>
      <c r="K7" s="10">
        <v>1156</v>
      </c>
      <c r="L7" s="10">
        <v>1651</v>
      </c>
      <c r="M7" s="10"/>
      <c r="N7" s="10">
        <v>208</v>
      </c>
      <c r="O7" s="10">
        <v>200</v>
      </c>
      <c r="P7" s="10">
        <v>1002</v>
      </c>
      <c r="Q7" s="10">
        <v>1000</v>
      </c>
      <c r="R7" s="10">
        <v>1004</v>
      </c>
      <c r="S7" s="10">
        <v>1006</v>
      </c>
      <c r="T7" s="10">
        <v>1006</v>
      </c>
      <c r="U7" s="10">
        <v>1007</v>
      </c>
      <c r="V7" s="10">
        <v>405</v>
      </c>
      <c r="W7" s="10"/>
      <c r="X7" s="10">
        <v>2650</v>
      </c>
      <c r="Y7" s="10">
        <v>4188</v>
      </c>
    </row>
    <row r="8" spans="2:25" ht="30" customHeight="1" x14ac:dyDescent="0.35">
      <c r="B8" s="11" t="s">
        <v>20</v>
      </c>
      <c r="C8" s="11">
        <v>6838</v>
      </c>
      <c r="D8" s="11">
        <v>3309</v>
      </c>
      <c r="E8" s="11">
        <v>3515</v>
      </c>
      <c r="F8" s="11"/>
      <c r="G8" s="11">
        <v>645</v>
      </c>
      <c r="H8" s="11">
        <v>1026</v>
      </c>
      <c r="I8" s="11">
        <v>1111</v>
      </c>
      <c r="J8" s="11">
        <v>1184</v>
      </c>
      <c r="K8" s="11">
        <v>1140</v>
      </c>
      <c r="L8" s="11">
        <v>1732</v>
      </c>
      <c r="M8" s="11"/>
      <c r="N8" s="11">
        <v>208</v>
      </c>
      <c r="O8" s="11">
        <v>200</v>
      </c>
      <c r="P8" s="11">
        <v>1002</v>
      </c>
      <c r="Q8" s="11">
        <v>1000</v>
      </c>
      <c r="R8" s="11">
        <v>1004</v>
      </c>
      <c r="S8" s="11">
        <v>1006</v>
      </c>
      <c r="T8" s="11">
        <v>1006</v>
      </c>
      <c r="U8" s="11">
        <v>1007</v>
      </c>
      <c r="V8" s="11">
        <v>405</v>
      </c>
      <c r="W8" s="11"/>
      <c r="X8" s="11">
        <v>2436</v>
      </c>
      <c r="Y8" s="11">
        <v>4402</v>
      </c>
    </row>
    <row r="9" spans="2:25" x14ac:dyDescent="0.35">
      <c r="B9" s="18" t="s">
        <v>75</v>
      </c>
      <c r="C9" s="17">
        <v>0.12619798362864201</v>
      </c>
      <c r="D9" s="17">
        <v>0.13699299413344701</v>
      </c>
      <c r="E9" s="17">
        <v>0.116540524295835</v>
      </c>
      <c r="F9" s="17"/>
      <c r="G9" s="17">
        <v>0.15341648818237499</v>
      </c>
      <c r="H9" s="17">
        <v>0.14248152625761501</v>
      </c>
      <c r="I9" s="17">
        <v>0.158404763323966</v>
      </c>
      <c r="J9" s="17">
        <v>0.124256500317172</v>
      </c>
      <c r="K9" s="17">
        <v>0.10720702268681501</v>
      </c>
      <c r="L9" s="17">
        <v>9.9596897142719895E-2</v>
      </c>
      <c r="M9" s="17"/>
      <c r="N9" s="17">
        <v>0.26113330091630699</v>
      </c>
      <c r="O9" s="17">
        <v>0.16228895788242301</v>
      </c>
      <c r="P9" s="17">
        <v>0.11685000914638601</v>
      </c>
      <c r="Q9" s="17">
        <v>5.4627045068047997E-2</v>
      </c>
      <c r="R9" s="17">
        <v>3.95350782066059E-2</v>
      </c>
      <c r="S9" s="17">
        <v>0.17027133428394201</v>
      </c>
      <c r="T9" s="17">
        <v>0.158833654273771</v>
      </c>
      <c r="U9" s="17">
        <v>0.13183225765609899</v>
      </c>
      <c r="V9" s="17">
        <v>0.24920893625844101</v>
      </c>
      <c r="W9" s="17"/>
      <c r="X9" s="17">
        <v>0.148694776160125</v>
      </c>
      <c r="Y9" s="17">
        <v>0.11374901170158901</v>
      </c>
    </row>
    <row r="10" spans="2:25" x14ac:dyDescent="0.35">
      <c r="B10" s="18" t="s">
        <v>76</v>
      </c>
      <c r="C10" s="17">
        <v>0.470184588002244</v>
      </c>
      <c r="D10" s="17">
        <v>0.472363900655416</v>
      </c>
      <c r="E10" s="17">
        <v>0.46828623701120897</v>
      </c>
      <c r="F10" s="17"/>
      <c r="G10" s="17">
        <v>0.50173545198304903</v>
      </c>
      <c r="H10" s="17">
        <v>0.491437394911097</v>
      </c>
      <c r="I10" s="17">
        <v>0.46462955113633098</v>
      </c>
      <c r="J10" s="17">
        <v>0.47282007707361801</v>
      </c>
      <c r="K10" s="17">
        <v>0.436892717685197</v>
      </c>
      <c r="L10" s="17">
        <v>0.46953738417277902</v>
      </c>
      <c r="M10" s="17"/>
      <c r="N10" s="17">
        <v>0.53133105194937902</v>
      </c>
      <c r="O10" s="17">
        <v>0.70628839274878696</v>
      </c>
      <c r="P10" s="17">
        <v>0.521073576445784</v>
      </c>
      <c r="Q10" s="17">
        <v>0.249294489247356</v>
      </c>
      <c r="R10" s="17">
        <v>0.40695486081891502</v>
      </c>
      <c r="S10" s="17">
        <v>0.54965689489159997</v>
      </c>
      <c r="T10" s="17">
        <v>0.52776225574717295</v>
      </c>
      <c r="U10" s="17">
        <v>0.484017965434689</v>
      </c>
      <c r="V10" s="17">
        <v>0.52361734706310303</v>
      </c>
      <c r="W10" s="17"/>
      <c r="X10" s="17">
        <v>0.49687007951186501</v>
      </c>
      <c r="Y10" s="17">
        <v>0.45541773027361498</v>
      </c>
    </row>
    <row r="11" spans="2:25" x14ac:dyDescent="0.35">
      <c r="B11" s="18" t="s">
        <v>77</v>
      </c>
      <c r="C11" s="17">
        <v>0.24243430161900301</v>
      </c>
      <c r="D11" s="17">
        <v>0.237579813579226</v>
      </c>
      <c r="E11" s="17">
        <v>0.246888785149768</v>
      </c>
      <c r="F11" s="17"/>
      <c r="G11" s="17">
        <v>0.21777686404581501</v>
      </c>
      <c r="H11" s="17">
        <v>0.22646518685407499</v>
      </c>
      <c r="I11" s="17">
        <v>0.223526101746269</v>
      </c>
      <c r="J11" s="17">
        <v>0.22668574551873699</v>
      </c>
      <c r="K11" s="17">
        <v>0.27497655048310499</v>
      </c>
      <c r="L11" s="17">
        <v>0.26253449829488001</v>
      </c>
      <c r="M11" s="17"/>
      <c r="N11" s="17">
        <v>0.15127880385859699</v>
      </c>
      <c r="O11" s="17">
        <v>6.9841131496175296E-2</v>
      </c>
      <c r="P11" s="17">
        <v>0.22982026060793201</v>
      </c>
      <c r="Q11" s="17">
        <v>0.292707066571608</v>
      </c>
      <c r="R11" s="17">
        <v>0.33415179898244202</v>
      </c>
      <c r="S11" s="17">
        <v>0.176994264168395</v>
      </c>
      <c r="T11" s="17">
        <v>0.25463120870053002</v>
      </c>
      <c r="U11" s="17">
        <v>0.25973386363206102</v>
      </c>
      <c r="V11" s="17">
        <v>0.14342947334856801</v>
      </c>
      <c r="W11" s="17"/>
      <c r="X11" s="17">
        <v>0.21185613680374399</v>
      </c>
      <c r="Y11" s="17">
        <v>0.25935523445123998</v>
      </c>
    </row>
    <row r="12" spans="2:25" x14ac:dyDescent="0.35">
      <c r="B12" s="18" t="s">
        <v>78</v>
      </c>
      <c r="C12" s="17">
        <v>9.4381718154951694E-2</v>
      </c>
      <c r="D12" s="17">
        <v>9.5880112155846395E-2</v>
      </c>
      <c r="E12" s="17">
        <v>9.2161138462356795E-2</v>
      </c>
      <c r="F12" s="17"/>
      <c r="G12" s="17">
        <v>8.0888869936034294E-2</v>
      </c>
      <c r="H12" s="17">
        <v>8.4056433732199107E-2</v>
      </c>
      <c r="I12" s="17">
        <v>8.5664657337945094E-2</v>
      </c>
      <c r="J12" s="17">
        <v>8.7076293743357805E-2</v>
      </c>
      <c r="K12" s="17">
        <v>0.11330858897872099</v>
      </c>
      <c r="L12" s="17">
        <v>0.103641153639613</v>
      </c>
      <c r="M12" s="17"/>
      <c r="N12" s="17">
        <v>2.0853082699579601E-2</v>
      </c>
      <c r="O12" s="17">
        <v>6.8123197787584803E-3</v>
      </c>
      <c r="P12" s="17">
        <v>6.7878725474865995E-2</v>
      </c>
      <c r="Q12" s="17">
        <v>0.27433205520296999</v>
      </c>
      <c r="R12" s="17">
        <v>0.14200817614398301</v>
      </c>
      <c r="S12" s="17">
        <v>3.6260996193456498E-2</v>
      </c>
      <c r="T12" s="17">
        <v>2.2729243182572599E-2</v>
      </c>
      <c r="U12" s="17">
        <v>8.0031382041316504E-2</v>
      </c>
      <c r="V12" s="17">
        <v>3.6601861928543297E-2</v>
      </c>
      <c r="W12" s="17"/>
      <c r="X12" s="17">
        <v>8.8065386918495706E-2</v>
      </c>
      <c r="Y12" s="17">
        <v>9.7876964427706797E-2</v>
      </c>
    </row>
    <row r="13" spans="2:25" x14ac:dyDescent="0.35">
      <c r="B13" s="18" t="s">
        <v>79</v>
      </c>
      <c r="C13" s="17">
        <v>3.0624804003537998E-2</v>
      </c>
      <c r="D13" s="17">
        <v>3.65962092480926E-2</v>
      </c>
      <c r="E13" s="17">
        <v>2.5125861978225299E-2</v>
      </c>
      <c r="F13" s="17"/>
      <c r="G13" s="17">
        <v>2.03953546594196E-2</v>
      </c>
      <c r="H13" s="17">
        <v>2.8389952067793201E-2</v>
      </c>
      <c r="I13" s="17">
        <v>3.1836409288090402E-2</v>
      </c>
      <c r="J13" s="17">
        <v>3.71930074024747E-2</v>
      </c>
      <c r="K13" s="17">
        <v>2.8035420486226099E-2</v>
      </c>
      <c r="L13" s="17">
        <v>3.2193478993372701E-2</v>
      </c>
      <c r="M13" s="17"/>
      <c r="N13" s="17">
        <v>0</v>
      </c>
      <c r="O13" s="17">
        <v>1.8046545926898E-2</v>
      </c>
      <c r="P13" s="17">
        <v>2.1846654554526598E-2</v>
      </c>
      <c r="Q13" s="17">
        <v>9.1229263628138796E-2</v>
      </c>
      <c r="R13" s="17">
        <v>4.2102804581472801E-2</v>
      </c>
      <c r="S13" s="17">
        <v>6.9802263444123302E-3</v>
      </c>
      <c r="T13" s="17">
        <v>1.31631543018839E-2</v>
      </c>
      <c r="U13" s="17">
        <v>2.6944405000488302E-2</v>
      </c>
      <c r="V13" s="17">
        <v>7.4444852680853801E-3</v>
      </c>
      <c r="W13" s="17"/>
      <c r="X13" s="17">
        <v>2.7265568139686801E-2</v>
      </c>
      <c r="Y13" s="17">
        <v>3.2483692683198097E-2</v>
      </c>
    </row>
    <row r="14" spans="2:25" x14ac:dyDescent="0.35">
      <c r="B14" s="18" t="s">
        <v>80</v>
      </c>
      <c r="C14" s="19">
        <v>3.6176604591620899E-2</v>
      </c>
      <c r="D14" s="19">
        <v>2.0586970227971499E-2</v>
      </c>
      <c r="E14" s="19">
        <v>5.0997453102605901E-2</v>
      </c>
      <c r="F14" s="19"/>
      <c r="G14" s="19">
        <v>2.57869711933073E-2</v>
      </c>
      <c r="H14" s="19">
        <v>2.7169506177221001E-2</v>
      </c>
      <c r="I14" s="19">
        <v>3.5938517167397897E-2</v>
      </c>
      <c r="J14" s="19">
        <v>5.19683759446396E-2</v>
      </c>
      <c r="K14" s="19">
        <v>3.9579699679936103E-2</v>
      </c>
      <c r="L14" s="19">
        <v>3.2496587756635699E-2</v>
      </c>
      <c r="M14" s="19"/>
      <c r="N14" s="19">
        <v>3.5403760576137401E-2</v>
      </c>
      <c r="O14" s="19">
        <v>3.67226521669579E-2</v>
      </c>
      <c r="P14" s="19">
        <v>4.2530773770505501E-2</v>
      </c>
      <c r="Q14" s="19">
        <v>3.7810080281880001E-2</v>
      </c>
      <c r="R14" s="19">
        <v>3.5247281266581498E-2</v>
      </c>
      <c r="S14" s="19">
        <v>5.9836284118194E-2</v>
      </c>
      <c r="T14" s="19">
        <v>2.2880483794069401E-2</v>
      </c>
      <c r="U14" s="19">
        <v>1.74401262353466E-2</v>
      </c>
      <c r="V14" s="19">
        <v>3.9697896133259199E-2</v>
      </c>
      <c r="W14" s="19"/>
      <c r="X14" s="19">
        <v>2.7248052466083601E-2</v>
      </c>
      <c r="Y14" s="19">
        <v>4.1117366462651898E-2</v>
      </c>
    </row>
    <row r="15" spans="2:25" x14ac:dyDescent="0.35">
      <c r="B15" s="16"/>
    </row>
    <row r="16" spans="2:25" x14ac:dyDescent="0.35">
      <c r="B16" t="s">
        <v>51</v>
      </c>
    </row>
    <row r="17" spans="2:2" x14ac:dyDescent="0.35">
      <c r="B17" t="s">
        <v>52</v>
      </c>
    </row>
    <row r="19" spans="2:2" x14ac:dyDescent="0.35">
      <c r="B19" s="8" t="str">
        <f>HYPERLINK("#'Contents'!A1", "Return to Contents")</f>
        <v>Return to Contents</v>
      </c>
    </row>
  </sheetData>
  <mergeCells count="5">
    <mergeCell ref="D5:E5"/>
    <mergeCell ref="G5:L5"/>
    <mergeCell ref="N5:V5"/>
    <mergeCell ref="X5:Y5"/>
    <mergeCell ref="D2:W2"/>
  </mergeCells>
  <pageMargins left="0.7" right="0.7" top="0.75" bottom="0.75" header="0.3" footer="0.3"/>
  <pageSetup paperSize="9" orientation="portrait" horizontalDpi="300" verticalDpi="300"/>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2:Y22"/>
  <sheetViews>
    <sheetView showGridLines="0" topLeftCell="A4"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s>
  <sheetData>
    <row r="2" spans="2:25" ht="40" customHeight="1" x14ac:dyDescent="0.35">
      <c r="D2" s="30" t="s">
        <v>93</v>
      </c>
      <c r="E2" s="26"/>
      <c r="F2" s="26"/>
      <c r="G2" s="26"/>
      <c r="H2" s="26"/>
      <c r="I2" s="26"/>
      <c r="J2" s="26"/>
      <c r="K2" s="26"/>
      <c r="L2" s="26"/>
      <c r="M2" s="26"/>
      <c r="N2" s="26"/>
      <c r="O2" s="26"/>
      <c r="P2" s="26"/>
      <c r="Q2" s="26"/>
      <c r="R2" s="26"/>
      <c r="S2" s="26"/>
      <c r="T2" s="26"/>
      <c r="U2" s="26"/>
      <c r="V2" s="26"/>
      <c r="W2" s="26"/>
    </row>
    <row r="5" spans="2:25" ht="30" customHeight="1" x14ac:dyDescent="0.35">
      <c r="B5" s="15"/>
      <c r="C5" s="15"/>
      <c r="D5" s="29" t="s">
        <v>38</v>
      </c>
      <c r="E5" s="29"/>
      <c r="F5" s="15"/>
      <c r="G5" s="29" t="s">
        <v>39</v>
      </c>
      <c r="H5" s="29"/>
      <c r="I5" s="29"/>
      <c r="J5" s="29"/>
      <c r="K5" s="29"/>
      <c r="L5" s="29"/>
      <c r="M5" s="15"/>
      <c r="N5" s="29" t="s">
        <v>40</v>
      </c>
      <c r="O5" s="29"/>
      <c r="P5" s="29"/>
      <c r="Q5" s="29"/>
      <c r="R5" s="29"/>
      <c r="S5" s="29"/>
      <c r="T5" s="29"/>
      <c r="U5" s="29"/>
      <c r="V5" s="29"/>
      <c r="W5" s="15"/>
      <c r="X5" s="29" t="s">
        <v>41</v>
      </c>
      <c r="Y5" s="29"/>
    </row>
    <row r="6" spans="2:25" ht="29"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row>
    <row r="7" spans="2:25" ht="30" customHeight="1" x14ac:dyDescent="0.35">
      <c r="B7" s="10" t="s">
        <v>19</v>
      </c>
      <c r="C7" s="10">
        <v>6838</v>
      </c>
      <c r="D7" s="10">
        <v>3283</v>
      </c>
      <c r="E7" s="10">
        <v>3541</v>
      </c>
      <c r="F7" s="10"/>
      <c r="G7" s="10">
        <v>635</v>
      </c>
      <c r="H7" s="10">
        <v>1075</v>
      </c>
      <c r="I7" s="10">
        <v>1093</v>
      </c>
      <c r="J7" s="10">
        <v>1228</v>
      </c>
      <c r="K7" s="10">
        <v>1156</v>
      </c>
      <c r="L7" s="10">
        <v>1651</v>
      </c>
      <c r="M7" s="10"/>
      <c r="N7" s="10">
        <v>208</v>
      </c>
      <c r="O7" s="10">
        <v>200</v>
      </c>
      <c r="P7" s="10">
        <v>1002</v>
      </c>
      <c r="Q7" s="10">
        <v>1000</v>
      </c>
      <c r="R7" s="10">
        <v>1004</v>
      </c>
      <c r="S7" s="10">
        <v>1006</v>
      </c>
      <c r="T7" s="10">
        <v>1006</v>
      </c>
      <c r="U7" s="10">
        <v>1007</v>
      </c>
      <c r="V7" s="10">
        <v>405</v>
      </c>
      <c r="W7" s="10"/>
      <c r="X7" s="10">
        <v>2650</v>
      </c>
      <c r="Y7" s="10">
        <v>4188</v>
      </c>
    </row>
    <row r="8" spans="2:25" ht="30" customHeight="1" x14ac:dyDescent="0.35">
      <c r="B8" s="11" t="s">
        <v>20</v>
      </c>
      <c r="C8" s="11">
        <v>6838</v>
      </c>
      <c r="D8" s="11">
        <v>3309</v>
      </c>
      <c r="E8" s="11">
        <v>3515</v>
      </c>
      <c r="F8" s="11"/>
      <c r="G8" s="11">
        <v>645</v>
      </c>
      <c r="H8" s="11">
        <v>1026</v>
      </c>
      <c r="I8" s="11">
        <v>1111</v>
      </c>
      <c r="J8" s="11">
        <v>1184</v>
      </c>
      <c r="K8" s="11">
        <v>1140</v>
      </c>
      <c r="L8" s="11">
        <v>1732</v>
      </c>
      <c r="M8" s="11"/>
      <c r="N8" s="11">
        <v>208</v>
      </c>
      <c r="O8" s="11">
        <v>200</v>
      </c>
      <c r="P8" s="11">
        <v>1002</v>
      </c>
      <c r="Q8" s="11">
        <v>1000</v>
      </c>
      <c r="R8" s="11">
        <v>1004</v>
      </c>
      <c r="S8" s="11">
        <v>1006</v>
      </c>
      <c r="T8" s="11">
        <v>1006</v>
      </c>
      <c r="U8" s="11">
        <v>1007</v>
      </c>
      <c r="V8" s="11">
        <v>405</v>
      </c>
      <c r="W8" s="11"/>
      <c r="X8" s="11">
        <v>2436</v>
      </c>
      <c r="Y8" s="11">
        <v>4402</v>
      </c>
    </row>
    <row r="9" spans="2:25" x14ac:dyDescent="0.35">
      <c r="B9" s="18" t="s">
        <v>85</v>
      </c>
      <c r="C9" s="17">
        <v>7.1569499588923696E-2</v>
      </c>
      <c r="D9" s="17">
        <v>8.4984576387563598E-2</v>
      </c>
      <c r="E9" s="17">
        <v>5.89510085828664E-2</v>
      </c>
      <c r="F9" s="17"/>
      <c r="G9" s="17">
        <v>0.11217066831489</v>
      </c>
      <c r="H9" s="17">
        <v>9.1812972471692497E-2</v>
      </c>
      <c r="I9" s="17">
        <v>8.3454836015513706E-2</v>
      </c>
      <c r="J9" s="17">
        <v>6.4380203558573199E-2</v>
      </c>
      <c r="K9" s="17">
        <v>5.9107857785284601E-2</v>
      </c>
      <c r="L9" s="17">
        <v>4.9967486424355799E-2</v>
      </c>
      <c r="M9" s="17"/>
      <c r="N9" s="17">
        <v>0.10775289193696901</v>
      </c>
      <c r="O9" s="17">
        <v>6.0167725849840099E-2</v>
      </c>
      <c r="P9" s="17">
        <v>9.6737031023214098E-2</v>
      </c>
      <c r="Q9" s="17">
        <v>5.64670702140345E-2</v>
      </c>
      <c r="R9" s="17">
        <v>3.7974693718487398E-2</v>
      </c>
      <c r="S9" s="17">
        <v>9.6470208314511099E-2</v>
      </c>
      <c r="T9" s="17">
        <v>5.56363660724815E-2</v>
      </c>
      <c r="U9" s="17">
        <v>7.6772978694476204E-2</v>
      </c>
      <c r="V9" s="17">
        <v>8.17094329009731E-2</v>
      </c>
      <c r="W9" s="17"/>
      <c r="X9" s="17">
        <v>9.4801051489675894E-2</v>
      </c>
      <c r="Y9" s="17">
        <v>5.8713936422324801E-2</v>
      </c>
    </row>
    <row r="10" spans="2:25" x14ac:dyDescent="0.35">
      <c r="B10" s="18" t="s">
        <v>86</v>
      </c>
      <c r="C10" s="17">
        <v>0.38444755748919501</v>
      </c>
      <c r="D10" s="17">
        <v>0.394160367144469</v>
      </c>
      <c r="E10" s="17">
        <v>0.37540934626598199</v>
      </c>
      <c r="F10" s="17"/>
      <c r="G10" s="17">
        <v>0.41806318206738802</v>
      </c>
      <c r="H10" s="17">
        <v>0.40395957502059399</v>
      </c>
      <c r="I10" s="17">
        <v>0.37774650318612102</v>
      </c>
      <c r="J10" s="17">
        <v>0.37062911634698897</v>
      </c>
      <c r="K10" s="17">
        <v>0.35455431879383098</v>
      </c>
      <c r="L10" s="17">
        <v>0.39380432788424002</v>
      </c>
      <c r="M10" s="17"/>
      <c r="N10" s="17">
        <v>0.38752120868796303</v>
      </c>
      <c r="O10" s="17">
        <v>0.60930737852331496</v>
      </c>
      <c r="P10" s="17">
        <v>0.43083651972200698</v>
      </c>
      <c r="Q10" s="17">
        <v>0.397431246255395</v>
      </c>
      <c r="R10" s="17">
        <v>0.419611496037337</v>
      </c>
      <c r="S10" s="17">
        <v>0.40863901257115498</v>
      </c>
      <c r="T10" s="17">
        <v>0.23995386967118901</v>
      </c>
      <c r="U10" s="17">
        <v>0.360210710561782</v>
      </c>
      <c r="V10" s="17">
        <v>0.39691482688768798</v>
      </c>
      <c r="W10" s="17"/>
      <c r="X10" s="17">
        <v>0.41512528386992897</v>
      </c>
      <c r="Y10" s="17">
        <v>0.367471530619359</v>
      </c>
    </row>
    <row r="11" spans="2:25" ht="29" x14ac:dyDescent="0.35">
      <c r="B11" s="18" t="s">
        <v>87</v>
      </c>
      <c r="C11" s="17">
        <v>0.266064462721672</v>
      </c>
      <c r="D11" s="17">
        <v>0.24913496786388201</v>
      </c>
      <c r="E11" s="17">
        <v>0.28249833215834502</v>
      </c>
      <c r="F11" s="17"/>
      <c r="G11" s="17">
        <v>0.24927759963537799</v>
      </c>
      <c r="H11" s="17">
        <v>0.272966071259096</v>
      </c>
      <c r="I11" s="17">
        <v>0.27183898552768698</v>
      </c>
      <c r="J11" s="17">
        <v>0.262157786621943</v>
      </c>
      <c r="K11" s="17">
        <v>0.29331391020785003</v>
      </c>
      <c r="L11" s="17">
        <v>0.24925541467630799</v>
      </c>
      <c r="M11" s="17"/>
      <c r="N11" s="17">
        <v>0.20706499138027001</v>
      </c>
      <c r="O11" s="17">
        <v>0.118092070666436</v>
      </c>
      <c r="P11" s="17">
        <v>0.249146340533906</v>
      </c>
      <c r="Q11" s="17">
        <v>0.26625644910826501</v>
      </c>
      <c r="R11" s="17">
        <v>0.25672480521098601</v>
      </c>
      <c r="S11" s="17">
        <v>0.24488222505267501</v>
      </c>
      <c r="T11" s="17">
        <v>0.393417819539499</v>
      </c>
      <c r="U11" s="17">
        <v>0.21493910612602901</v>
      </c>
      <c r="V11" s="17">
        <v>0.29736926485605403</v>
      </c>
      <c r="W11" s="17"/>
      <c r="X11" s="17">
        <v>0.24163583846642001</v>
      </c>
      <c r="Y11" s="17">
        <v>0.27958244565833201</v>
      </c>
    </row>
    <row r="12" spans="2:25" x14ac:dyDescent="0.35">
      <c r="B12" s="18" t="s">
        <v>88</v>
      </c>
      <c r="C12" s="17">
        <v>0.15042832396686101</v>
      </c>
      <c r="D12" s="17">
        <v>0.153109065886957</v>
      </c>
      <c r="E12" s="17">
        <v>0.14709660634569199</v>
      </c>
      <c r="F12" s="17"/>
      <c r="G12" s="17">
        <v>0.14530899343331599</v>
      </c>
      <c r="H12" s="17">
        <v>0.13691107502945499</v>
      </c>
      <c r="I12" s="17">
        <v>0.13823092243318399</v>
      </c>
      <c r="J12" s="17">
        <v>0.15107595607528099</v>
      </c>
      <c r="K12" s="17">
        <v>0.15422347526060601</v>
      </c>
      <c r="L12" s="17">
        <v>0.16521892987011599</v>
      </c>
      <c r="M12" s="17"/>
      <c r="N12" s="17">
        <v>0.149015719904349</v>
      </c>
      <c r="O12" s="17">
        <v>8.4165017007936604E-2</v>
      </c>
      <c r="P12" s="17">
        <v>0.11041151224830099</v>
      </c>
      <c r="Q12" s="17">
        <v>0.17144402964893299</v>
      </c>
      <c r="R12" s="17">
        <v>0.16111965844215501</v>
      </c>
      <c r="S12" s="17">
        <v>0.13817134352699401</v>
      </c>
      <c r="T12" s="17">
        <v>0.15866235291295899</v>
      </c>
      <c r="U12" s="17">
        <v>0.18598764638663401</v>
      </c>
      <c r="V12" s="17">
        <v>0.12606381633609501</v>
      </c>
      <c r="W12" s="17"/>
      <c r="X12" s="17">
        <v>0.14171244530657401</v>
      </c>
      <c r="Y12" s="17">
        <v>0.155251399461276</v>
      </c>
    </row>
    <row r="13" spans="2:25" x14ac:dyDescent="0.35">
      <c r="B13" s="18" t="s">
        <v>89</v>
      </c>
      <c r="C13" s="17">
        <v>8.8233377784410899E-2</v>
      </c>
      <c r="D13" s="17">
        <v>9.4359500185116199E-2</v>
      </c>
      <c r="E13" s="17">
        <v>8.2819300504549498E-2</v>
      </c>
      <c r="F13" s="17"/>
      <c r="G13" s="17">
        <v>4.7050562584378203E-2</v>
      </c>
      <c r="H13" s="17">
        <v>6.4801956064012095E-2</v>
      </c>
      <c r="I13" s="17">
        <v>9.7165405136258903E-2</v>
      </c>
      <c r="J13" s="17">
        <v>9.2678307370738802E-2</v>
      </c>
      <c r="K13" s="17">
        <v>8.8079606908586294E-2</v>
      </c>
      <c r="L13" s="17">
        <v>0.108764782075278</v>
      </c>
      <c r="M13" s="17"/>
      <c r="N13" s="17">
        <v>9.9289024281846994E-2</v>
      </c>
      <c r="O13" s="17">
        <v>8.8633968182803599E-2</v>
      </c>
      <c r="P13" s="17">
        <v>6.0998129101106198E-2</v>
      </c>
      <c r="Q13" s="17">
        <v>7.05174514835296E-2</v>
      </c>
      <c r="R13" s="17">
        <v>8.63893015303797E-2</v>
      </c>
      <c r="S13" s="17">
        <v>6.4110551564310905E-2</v>
      </c>
      <c r="T13" s="17">
        <v>0.12050919702571999</v>
      </c>
      <c r="U13" s="17">
        <v>0.14302474752274999</v>
      </c>
      <c r="V13" s="17">
        <v>4.1568156015547697E-2</v>
      </c>
      <c r="W13" s="17"/>
      <c r="X13" s="17">
        <v>8.0112072598402195E-2</v>
      </c>
      <c r="Y13" s="17">
        <v>9.2727436220971099E-2</v>
      </c>
    </row>
    <row r="14" spans="2:25" x14ac:dyDescent="0.35">
      <c r="B14" s="18" t="s">
        <v>69</v>
      </c>
      <c r="C14" s="17">
        <v>3.9256778448936699E-2</v>
      </c>
      <c r="D14" s="17">
        <v>2.4251522532012501E-2</v>
      </c>
      <c r="E14" s="17">
        <v>5.3225406142564803E-2</v>
      </c>
      <c r="F14" s="17"/>
      <c r="G14" s="17">
        <v>2.81289939646505E-2</v>
      </c>
      <c r="H14" s="17">
        <v>2.95483501551504E-2</v>
      </c>
      <c r="I14" s="17">
        <v>3.15633477012352E-2</v>
      </c>
      <c r="J14" s="17">
        <v>5.9078630026475197E-2</v>
      </c>
      <c r="K14" s="17">
        <v>5.0720831043842098E-2</v>
      </c>
      <c r="L14" s="17">
        <v>3.2989059069701898E-2</v>
      </c>
      <c r="M14" s="17"/>
      <c r="N14" s="17">
        <v>4.9356163808601701E-2</v>
      </c>
      <c r="O14" s="17">
        <v>3.96338397696692E-2</v>
      </c>
      <c r="P14" s="17">
        <v>5.1870467371465903E-2</v>
      </c>
      <c r="Q14" s="17">
        <v>3.7883753289842698E-2</v>
      </c>
      <c r="R14" s="17">
        <v>3.8180045060654803E-2</v>
      </c>
      <c r="S14" s="17">
        <v>4.7726658970353497E-2</v>
      </c>
      <c r="T14" s="17">
        <v>3.1820394778150601E-2</v>
      </c>
      <c r="U14" s="17">
        <v>1.9064810708329102E-2</v>
      </c>
      <c r="V14" s="17">
        <v>5.6374503003641802E-2</v>
      </c>
      <c r="W14" s="17"/>
      <c r="X14" s="17">
        <v>2.6613308268999401E-2</v>
      </c>
      <c r="Y14" s="17">
        <v>4.62532516177366E-2</v>
      </c>
    </row>
    <row r="15" spans="2:25" x14ac:dyDescent="0.35">
      <c r="B15" s="18" t="s">
        <v>90</v>
      </c>
      <c r="C15" s="21">
        <v>0.45601705707811901</v>
      </c>
      <c r="D15" s="21">
        <v>0.47914494353203202</v>
      </c>
      <c r="E15" s="21">
        <v>0.434360354848849</v>
      </c>
      <c r="F15" s="21"/>
      <c r="G15" s="21">
        <v>0.53023385038227699</v>
      </c>
      <c r="H15" s="21">
        <v>0.495772547492287</v>
      </c>
      <c r="I15" s="21">
        <v>0.46120133920163497</v>
      </c>
      <c r="J15" s="21">
        <v>0.43500931990556202</v>
      </c>
      <c r="K15" s="21">
        <v>0.41366217657911603</v>
      </c>
      <c r="L15" s="21">
        <v>0.44377181430859602</v>
      </c>
      <c r="M15" s="21"/>
      <c r="N15" s="21">
        <v>0.49527410062493199</v>
      </c>
      <c r="O15" s="21">
        <v>0.66947510437315505</v>
      </c>
      <c r="P15" s="21">
        <v>0.52757355074522105</v>
      </c>
      <c r="Q15" s="21">
        <v>0.45389831646943002</v>
      </c>
      <c r="R15" s="21">
        <v>0.45758618975582499</v>
      </c>
      <c r="S15" s="21">
        <v>0.50510922088566601</v>
      </c>
      <c r="T15" s="21">
        <v>0.29559023574366999</v>
      </c>
      <c r="U15" s="21">
        <v>0.43698368925625802</v>
      </c>
      <c r="V15" s="21">
        <v>0.47862425978866102</v>
      </c>
      <c r="W15" s="21"/>
      <c r="X15" s="21">
        <v>0.50992633535960497</v>
      </c>
      <c r="Y15" s="21">
        <v>0.42618546704168397</v>
      </c>
    </row>
    <row r="16" spans="2:25" x14ac:dyDescent="0.35">
      <c r="B16" s="18" t="s">
        <v>91</v>
      </c>
      <c r="C16" s="21">
        <v>0.23866170175127199</v>
      </c>
      <c r="D16" s="21">
        <v>0.24746856607207299</v>
      </c>
      <c r="E16" s="21">
        <v>0.22991590685024099</v>
      </c>
      <c r="F16" s="21"/>
      <c r="G16" s="21">
        <v>0.192359556017694</v>
      </c>
      <c r="H16" s="21">
        <v>0.201713031093467</v>
      </c>
      <c r="I16" s="21">
        <v>0.23539632756944301</v>
      </c>
      <c r="J16" s="21">
        <v>0.243754263446019</v>
      </c>
      <c r="K16" s="21">
        <v>0.242303082169192</v>
      </c>
      <c r="L16" s="21">
        <v>0.273983711945394</v>
      </c>
      <c r="M16" s="21"/>
      <c r="N16" s="21">
        <v>0.248304744186196</v>
      </c>
      <c r="O16" s="21">
        <v>0.17279898519074</v>
      </c>
      <c r="P16" s="21">
        <v>0.171409641349407</v>
      </c>
      <c r="Q16" s="21">
        <v>0.24196148113246199</v>
      </c>
      <c r="R16" s="21">
        <v>0.247508959972535</v>
      </c>
      <c r="S16" s="21">
        <v>0.20228189509130501</v>
      </c>
      <c r="T16" s="21">
        <v>0.27917154993867999</v>
      </c>
      <c r="U16" s="21">
        <v>0.32901239390938403</v>
      </c>
      <c r="V16" s="21">
        <v>0.16763197235164301</v>
      </c>
      <c r="W16" s="21"/>
      <c r="X16" s="21">
        <v>0.22182451790497601</v>
      </c>
      <c r="Y16" s="21">
        <v>0.24797883568224699</v>
      </c>
    </row>
    <row r="17" spans="2:25" x14ac:dyDescent="0.35">
      <c r="B17" s="18" t="s">
        <v>92</v>
      </c>
      <c r="C17" s="22">
        <v>0.21735535532684699</v>
      </c>
      <c r="D17" s="22">
        <v>0.231676377459959</v>
      </c>
      <c r="E17" s="22">
        <v>0.204444447998607</v>
      </c>
      <c r="F17" s="22"/>
      <c r="G17" s="22">
        <v>0.33787429436458399</v>
      </c>
      <c r="H17" s="22">
        <v>0.29405951639882</v>
      </c>
      <c r="I17" s="22">
        <v>0.22580501163219099</v>
      </c>
      <c r="J17" s="22">
        <v>0.19125505645954299</v>
      </c>
      <c r="K17" s="22">
        <v>0.171359094409924</v>
      </c>
      <c r="L17" s="22">
        <v>0.16978810236320199</v>
      </c>
      <c r="M17" s="22"/>
      <c r="N17" s="22">
        <v>0.24696935643873599</v>
      </c>
      <c r="O17" s="22">
        <v>0.496676119182415</v>
      </c>
      <c r="P17" s="22">
        <v>0.35616390939581399</v>
      </c>
      <c r="Q17" s="22">
        <v>0.211936835336967</v>
      </c>
      <c r="R17" s="22">
        <v>0.21007722978328999</v>
      </c>
      <c r="S17" s="22">
        <v>0.302827325794361</v>
      </c>
      <c r="T17" s="22">
        <v>1.6418685804990601E-2</v>
      </c>
      <c r="U17" s="22">
        <v>0.107971295346874</v>
      </c>
      <c r="V17" s="22">
        <v>0.31099228743701801</v>
      </c>
      <c r="W17" s="22"/>
      <c r="X17" s="22">
        <v>0.28810181745462898</v>
      </c>
      <c r="Y17" s="22">
        <v>0.17820663135943701</v>
      </c>
    </row>
    <row r="18" spans="2:25" x14ac:dyDescent="0.35">
      <c r="B18" s="16"/>
    </row>
    <row r="19" spans="2:25" x14ac:dyDescent="0.35">
      <c r="B19" t="s">
        <v>51</v>
      </c>
    </row>
    <row r="20" spans="2:25" x14ac:dyDescent="0.35">
      <c r="B20" t="s">
        <v>52</v>
      </c>
    </row>
    <row r="22" spans="2:25" x14ac:dyDescent="0.35">
      <c r="B22" s="8" t="str">
        <f>HYPERLINK("#'Contents'!A1", "Return to Contents")</f>
        <v>Return to Contents</v>
      </c>
    </row>
  </sheetData>
  <mergeCells count="5">
    <mergeCell ref="D5:E5"/>
    <mergeCell ref="G5:L5"/>
    <mergeCell ref="N5:V5"/>
    <mergeCell ref="X5:Y5"/>
    <mergeCell ref="D2:W2"/>
  </mergeCells>
  <pageMargins left="0.7" right="0.7" top="0.75" bottom="0.75" header="0.3" footer="0.3"/>
  <pageSetup paperSize="9" orientation="portrait" horizontalDpi="300" verticalDpi="300"/>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2:Y17"/>
  <sheetViews>
    <sheetView showGridLines="0" topLeftCell="A10" workbookViewId="0">
      <pane xSplit="2" topLeftCell="C1" activePane="topRight" state="frozen"/>
      <selection pane="topRight" activeCell="B13" sqref="B13"/>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s>
  <sheetData>
    <row r="2" spans="2:25" ht="40" customHeight="1" x14ac:dyDescent="0.35">
      <c r="D2" s="30" t="s">
        <v>97</v>
      </c>
      <c r="E2" s="26"/>
      <c r="F2" s="26"/>
      <c r="G2" s="26"/>
      <c r="H2" s="26"/>
      <c r="I2" s="26"/>
      <c r="J2" s="26"/>
      <c r="K2" s="26"/>
      <c r="L2" s="26"/>
      <c r="M2" s="26"/>
      <c r="N2" s="26"/>
      <c r="O2" s="26"/>
      <c r="P2" s="26"/>
      <c r="Q2" s="26"/>
      <c r="R2" s="26"/>
      <c r="S2" s="26"/>
      <c r="T2" s="26"/>
      <c r="U2" s="26"/>
      <c r="V2" s="26"/>
      <c r="W2" s="26"/>
    </row>
    <row r="5" spans="2:25" ht="30" customHeight="1" x14ac:dyDescent="0.35">
      <c r="B5" s="15"/>
      <c r="C5" s="15"/>
      <c r="D5" s="29" t="s">
        <v>38</v>
      </c>
      <c r="E5" s="29"/>
      <c r="F5" s="15"/>
      <c r="G5" s="29" t="s">
        <v>39</v>
      </c>
      <c r="H5" s="29"/>
      <c r="I5" s="29"/>
      <c r="J5" s="29"/>
      <c r="K5" s="29"/>
      <c r="L5" s="29"/>
      <c r="M5" s="15"/>
      <c r="N5" s="29" t="s">
        <v>40</v>
      </c>
      <c r="O5" s="29"/>
      <c r="P5" s="29"/>
      <c r="Q5" s="29"/>
      <c r="R5" s="29"/>
      <c r="S5" s="29"/>
      <c r="T5" s="29"/>
      <c r="U5" s="29"/>
      <c r="V5" s="29"/>
      <c r="W5" s="15"/>
      <c r="X5" s="29" t="s">
        <v>41</v>
      </c>
      <c r="Y5" s="29"/>
    </row>
    <row r="6" spans="2:25" ht="29"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row>
    <row r="7" spans="2:25" ht="30" customHeight="1" x14ac:dyDescent="0.35">
      <c r="B7" s="10" t="s">
        <v>19</v>
      </c>
      <c r="C7" s="10">
        <v>6837</v>
      </c>
      <c r="D7" s="10">
        <v>3282</v>
      </c>
      <c r="E7" s="10">
        <v>3541</v>
      </c>
      <c r="F7" s="10"/>
      <c r="G7" s="10">
        <v>635</v>
      </c>
      <c r="H7" s="10">
        <v>1075</v>
      </c>
      <c r="I7" s="10">
        <v>1092</v>
      </c>
      <c r="J7" s="10">
        <v>1228</v>
      </c>
      <c r="K7" s="10">
        <v>1156</v>
      </c>
      <c r="L7" s="10">
        <v>1651</v>
      </c>
      <c r="M7" s="10"/>
      <c r="N7" s="10">
        <v>208</v>
      </c>
      <c r="O7" s="10">
        <v>200</v>
      </c>
      <c r="P7" s="10">
        <v>1002</v>
      </c>
      <c r="Q7" s="10">
        <v>1000</v>
      </c>
      <c r="R7" s="10">
        <v>1004</v>
      </c>
      <c r="S7" s="10">
        <v>1006</v>
      </c>
      <c r="T7" s="10">
        <v>1005</v>
      </c>
      <c r="U7" s="10">
        <v>1007</v>
      </c>
      <c r="V7" s="10">
        <v>405</v>
      </c>
      <c r="W7" s="10"/>
      <c r="X7" s="10">
        <v>2650</v>
      </c>
      <c r="Y7" s="10">
        <v>4187</v>
      </c>
    </row>
    <row r="8" spans="2:25" ht="30" customHeight="1" x14ac:dyDescent="0.35">
      <c r="B8" s="11" t="s">
        <v>20</v>
      </c>
      <c r="C8" s="11">
        <v>6837</v>
      </c>
      <c r="D8" s="11">
        <v>3308</v>
      </c>
      <c r="E8" s="11">
        <v>3515</v>
      </c>
      <c r="F8" s="11"/>
      <c r="G8" s="11">
        <v>645</v>
      </c>
      <c r="H8" s="11">
        <v>1026</v>
      </c>
      <c r="I8" s="11">
        <v>1110</v>
      </c>
      <c r="J8" s="11">
        <v>1184</v>
      </c>
      <c r="K8" s="11">
        <v>1140</v>
      </c>
      <c r="L8" s="11">
        <v>1732</v>
      </c>
      <c r="M8" s="11"/>
      <c r="N8" s="11">
        <v>208</v>
      </c>
      <c r="O8" s="11">
        <v>200</v>
      </c>
      <c r="P8" s="11">
        <v>1002</v>
      </c>
      <c r="Q8" s="11">
        <v>1000</v>
      </c>
      <c r="R8" s="11">
        <v>1004</v>
      </c>
      <c r="S8" s="11">
        <v>1006</v>
      </c>
      <c r="T8" s="11">
        <v>1005</v>
      </c>
      <c r="U8" s="11">
        <v>1007</v>
      </c>
      <c r="V8" s="11">
        <v>405</v>
      </c>
      <c r="W8" s="11"/>
      <c r="X8" s="11">
        <v>2436</v>
      </c>
      <c r="Y8" s="11">
        <v>4401</v>
      </c>
    </row>
    <row r="9" spans="2:25" ht="43.5" x14ac:dyDescent="0.35">
      <c r="B9" s="18" t="s">
        <v>94</v>
      </c>
      <c r="C9" s="17">
        <v>0.34746026704681399</v>
      </c>
      <c r="D9" s="17">
        <v>0.412649439659794</v>
      </c>
      <c r="E9" s="17">
        <v>0.28583867144679298</v>
      </c>
      <c r="F9" s="17"/>
      <c r="G9" s="17">
        <v>0.34984682687561303</v>
      </c>
      <c r="H9" s="17">
        <v>0.36927404860268398</v>
      </c>
      <c r="I9" s="17">
        <v>0.358883175844119</v>
      </c>
      <c r="J9" s="17">
        <v>0.30959264019282201</v>
      </c>
      <c r="K9" s="17">
        <v>0.33267337307831002</v>
      </c>
      <c r="L9" s="17">
        <v>0.36194763762275201</v>
      </c>
      <c r="M9" s="17"/>
      <c r="N9" s="17">
        <v>0.24838173433931299</v>
      </c>
      <c r="O9" s="17">
        <v>0.205083106206989</v>
      </c>
      <c r="P9" s="17">
        <v>0.25242888342812803</v>
      </c>
      <c r="Q9" s="17">
        <v>0.51479854109172296</v>
      </c>
      <c r="R9" s="17">
        <v>0.435803604103224</v>
      </c>
      <c r="S9" s="17">
        <v>0.20634156218507299</v>
      </c>
      <c r="T9" s="17">
        <v>0.433731235075133</v>
      </c>
      <c r="U9" s="17">
        <v>0.338129295217175</v>
      </c>
      <c r="V9" s="17">
        <v>0.23123029911996801</v>
      </c>
      <c r="W9" s="17"/>
      <c r="X9" s="17">
        <v>0.37224720554558999</v>
      </c>
      <c r="Y9" s="17">
        <v>0.33374098773760402</v>
      </c>
    </row>
    <row r="10" spans="2:25" ht="58" x14ac:dyDescent="0.35">
      <c r="B10" s="18" t="s">
        <v>95</v>
      </c>
      <c r="C10" s="17">
        <v>0.45405120131547899</v>
      </c>
      <c r="D10" s="17">
        <v>0.424989219848111</v>
      </c>
      <c r="E10" s="17">
        <v>0.48171436576180199</v>
      </c>
      <c r="F10" s="17"/>
      <c r="G10" s="17">
        <v>0.52055828616716404</v>
      </c>
      <c r="H10" s="17">
        <v>0.46115956808471797</v>
      </c>
      <c r="I10" s="17">
        <v>0.44686505719254099</v>
      </c>
      <c r="J10" s="17">
        <v>0.464968423841505</v>
      </c>
      <c r="K10" s="17">
        <v>0.45762045119210498</v>
      </c>
      <c r="L10" s="17">
        <v>0.41988869360610098</v>
      </c>
      <c r="M10" s="17"/>
      <c r="N10" s="17">
        <v>0.51425818964224201</v>
      </c>
      <c r="O10" s="17">
        <v>0.61141834836458697</v>
      </c>
      <c r="P10" s="17">
        <v>0.52251812750072801</v>
      </c>
      <c r="Q10" s="17">
        <v>0.30630759302259802</v>
      </c>
      <c r="R10" s="17">
        <v>0.42050274371570401</v>
      </c>
      <c r="S10" s="17">
        <v>0.54053884974812805</v>
      </c>
      <c r="T10" s="17">
        <v>0.416774140436798</v>
      </c>
      <c r="U10" s="17">
        <v>0.43593717833838203</v>
      </c>
      <c r="V10" s="17">
        <v>0.54670502212100602</v>
      </c>
      <c r="W10" s="17"/>
      <c r="X10" s="17">
        <v>0.46686840620973002</v>
      </c>
      <c r="Y10" s="17">
        <v>0.446957028958684</v>
      </c>
    </row>
    <row r="11" spans="2:25" ht="43.5" x14ac:dyDescent="0.35">
      <c r="B11" s="18" t="s">
        <v>96</v>
      </c>
      <c r="C11" s="17">
        <v>0.10818075480196</v>
      </c>
      <c r="D11" s="17">
        <v>0.105492882928164</v>
      </c>
      <c r="E11" s="17">
        <v>0.110850962697095</v>
      </c>
      <c r="F11" s="17"/>
      <c r="G11" s="17">
        <v>8.0977648054901097E-2</v>
      </c>
      <c r="H11" s="17">
        <v>0.10812578278105101</v>
      </c>
      <c r="I11" s="17">
        <v>0.112143954736085</v>
      </c>
      <c r="J11" s="17">
        <v>0.12270498617195801</v>
      </c>
      <c r="K11" s="17">
        <v>0.10904444461857001</v>
      </c>
      <c r="L11" s="17">
        <v>0.105303238307926</v>
      </c>
      <c r="M11" s="17"/>
      <c r="N11" s="17">
        <v>0.121499991824217</v>
      </c>
      <c r="O11" s="17">
        <v>5.4205108225725697E-2</v>
      </c>
      <c r="P11" s="17">
        <v>0.12961636551774799</v>
      </c>
      <c r="Q11" s="17">
        <v>8.6789082715088894E-2</v>
      </c>
      <c r="R11" s="17">
        <v>7.6572357460853793E-2</v>
      </c>
      <c r="S11" s="17">
        <v>0.13877921941737301</v>
      </c>
      <c r="T11" s="17">
        <v>6.3120444084946797E-2</v>
      </c>
      <c r="U11" s="17">
        <v>0.153105530964954</v>
      </c>
      <c r="V11" s="17">
        <v>0.130251105620415</v>
      </c>
      <c r="W11" s="17"/>
      <c r="X11" s="17">
        <v>0.102714183909471</v>
      </c>
      <c r="Y11" s="17">
        <v>0.111206437580063</v>
      </c>
    </row>
    <row r="12" spans="2:25" x14ac:dyDescent="0.35">
      <c r="B12" s="18" t="s">
        <v>69</v>
      </c>
      <c r="C12" s="19">
        <v>9.0307776835746395E-2</v>
      </c>
      <c r="D12" s="19">
        <v>5.6868457563929997E-2</v>
      </c>
      <c r="E12" s="19">
        <v>0.121596000094311</v>
      </c>
      <c r="F12" s="19"/>
      <c r="G12" s="19">
        <v>4.8617238902321801E-2</v>
      </c>
      <c r="H12" s="19">
        <v>6.1440600531547103E-2</v>
      </c>
      <c r="I12" s="19">
        <v>8.2107812227254995E-2</v>
      </c>
      <c r="J12" s="19">
        <v>0.102733949793715</v>
      </c>
      <c r="K12" s="19">
        <v>0.10066173111101499</v>
      </c>
      <c r="L12" s="19">
        <v>0.112860430463221</v>
      </c>
      <c r="M12" s="19"/>
      <c r="N12" s="19">
        <v>0.115860084194228</v>
      </c>
      <c r="O12" s="19">
        <v>0.12929343720269801</v>
      </c>
      <c r="P12" s="19">
        <v>9.5436623553396396E-2</v>
      </c>
      <c r="Q12" s="19">
        <v>9.2104783170590399E-2</v>
      </c>
      <c r="R12" s="19">
        <v>6.7121294720219105E-2</v>
      </c>
      <c r="S12" s="19">
        <v>0.114340368649426</v>
      </c>
      <c r="T12" s="19">
        <v>8.63741804031221E-2</v>
      </c>
      <c r="U12" s="19">
        <v>7.2827995479489704E-2</v>
      </c>
      <c r="V12" s="19">
        <v>9.1813573138610396E-2</v>
      </c>
      <c r="W12" s="19"/>
      <c r="X12" s="19">
        <v>5.8170204335208503E-2</v>
      </c>
      <c r="Y12" s="19">
        <v>0.108095545723648</v>
      </c>
    </row>
    <row r="13" spans="2:25" x14ac:dyDescent="0.35">
      <c r="B13" s="34"/>
    </row>
    <row r="14" spans="2:25" x14ac:dyDescent="0.35">
      <c r="B14" t="s">
        <v>51</v>
      </c>
    </row>
    <row r="15" spans="2:25" x14ac:dyDescent="0.35">
      <c r="B15" t="s">
        <v>52</v>
      </c>
    </row>
    <row r="17" spans="2:2" x14ac:dyDescent="0.35">
      <c r="B17" s="8" t="str">
        <f>HYPERLINK("#'Contents'!A1", "Return to Contents")</f>
        <v>Return to Contents</v>
      </c>
    </row>
  </sheetData>
  <mergeCells count="5">
    <mergeCell ref="D5:E5"/>
    <mergeCell ref="G5:L5"/>
    <mergeCell ref="N5:V5"/>
    <mergeCell ref="X5:Y5"/>
    <mergeCell ref="D2:W2"/>
  </mergeCells>
  <pageMargins left="0.7" right="0.7" top="0.75" bottom="0.75" header="0.3" footer="0.3"/>
  <pageSetup paperSize="9" orientation="portrait" horizontalDpi="300" verticalDpi="300"/>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B2:Y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s>
  <sheetData>
    <row r="2" spans="2:25" ht="40" customHeight="1" x14ac:dyDescent="0.35">
      <c r="D2" s="30" t="s">
        <v>107</v>
      </c>
      <c r="E2" s="26"/>
      <c r="F2" s="26"/>
      <c r="G2" s="26"/>
      <c r="H2" s="26"/>
      <c r="I2" s="26"/>
      <c r="J2" s="26"/>
      <c r="K2" s="26"/>
      <c r="L2" s="26"/>
      <c r="M2" s="26"/>
      <c r="N2" s="26"/>
      <c r="O2" s="26"/>
      <c r="P2" s="26"/>
      <c r="Q2" s="26"/>
      <c r="R2" s="26"/>
      <c r="S2" s="26"/>
      <c r="T2" s="26"/>
      <c r="U2" s="26"/>
      <c r="V2" s="26"/>
      <c r="W2" s="26"/>
    </row>
    <row r="5" spans="2:25" ht="30" customHeight="1" x14ac:dyDescent="0.35">
      <c r="B5" s="15"/>
      <c r="C5" s="15"/>
      <c r="D5" s="29" t="s">
        <v>38</v>
      </c>
      <c r="E5" s="29"/>
      <c r="F5" s="15"/>
      <c r="G5" s="29" t="s">
        <v>39</v>
      </c>
      <c r="H5" s="29"/>
      <c r="I5" s="29"/>
      <c r="J5" s="29"/>
      <c r="K5" s="29"/>
      <c r="L5" s="29"/>
      <c r="M5" s="15"/>
      <c r="N5" s="29" t="s">
        <v>40</v>
      </c>
      <c r="O5" s="29"/>
      <c r="P5" s="29"/>
      <c r="Q5" s="29"/>
      <c r="R5" s="29"/>
      <c r="S5" s="29"/>
      <c r="T5" s="29"/>
      <c r="U5" s="29"/>
      <c r="V5" s="29"/>
      <c r="W5" s="15"/>
      <c r="X5" s="29" t="s">
        <v>41</v>
      </c>
      <c r="Y5" s="29"/>
    </row>
    <row r="6" spans="2:25" ht="29"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row>
    <row r="7" spans="2:25" ht="30" customHeight="1" x14ac:dyDescent="0.35">
      <c r="B7" s="10" t="s">
        <v>19</v>
      </c>
      <c r="C7" s="10">
        <v>6838</v>
      </c>
      <c r="D7" s="10">
        <v>3283</v>
      </c>
      <c r="E7" s="10">
        <v>3541</v>
      </c>
      <c r="F7" s="10"/>
      <c r="G7" s="10">
        <v>635</v>
      </c>
      <c r="H7" s="10">
        <v>1075</v>
      </c>
      <c r="I7" s="10">
        <v>1093</v>
      </c>
      <c r="J7" s="10">
        <v>1228</v>
      </c>
      <c r="K7" s="10">
        <v>1156</v>
      </c>
      <c r="L7" s="10">
        <v>1651</v>
      </c>
      <c r="M7" s="10"/>
      <c r="N7" s="10">
        <v>208</v>
      </c>
      <c r="O7" s="10">
        <v>200</v>
      </c>
      <c r="P7" s="10">
        <v>1002</v>
      </c>
      <c r="Q7" s="10">
        <v>1000</v>
      </c>
      <c r="R7" s="10">
        <v>1004</v>
      </c>
      <c r="S7" s="10">
        <v>1006</v>
      </c>
      <c r="T7" s="10">
        <v>1006</v>
      </c>
      <c r="U7" s="10">
        <v>1007</v>
      </c>
      <c r="V7" s="10">
        <v>405</v>
      </c>
      <c r="W7" s="10"/>
      <c r="X7" s="10">
        <v>2650</v>
      </c>
      <c r="Y7" s="10">
        <v>4188</v>
      </c>
    </row>
    <row r="8" spans="2:25" ht="30" customHeight="1" x14ac:dyDescent="0.35">
      <c r="B8" s="11" t="s">
        <v>20</v>
      </c>
      <c r="C8" s="11">
        <v>6838</v>
      </c>
      <c r="D8" s="11">
        <v>3309</v>
      </c>
      <c r="E8" s="11">
        <v>3515</v>
      </c>
      <c r="F8" s="11"/>
      <c r="G8" s="11">
        <v>645</v>
      </c>
      <c r="H8" s="11">
        <v>1026</v>
      </c>
      <c r="I8" s="11">
        <v>1111</v>
      </c>
      <c r="J8" s="11">
        <v>1184</v>
      </c>
      <c r="K8" s="11">
        <v>1140</v>
      </c>
      <c r="L8" s="11">
        <v>1732</v>
      </c>
      <c r="M8" s="11"/>
      <c r="N8" s="11">
        <v>208</v>
      </c>
      <c r="O8" s="11">
        <v>200</v>
      </c>
      <c r="P8" s="11">
        <v>1002</v>
      </c>
      <c r="Q8" s="11">
        <v>1000</v>
      </c>
      <c r="R8" s="11">
        <v>1004</v>
      </c>
      <c r="S8" s="11">
        <v>1006</v>
      </c>
      <c r="T8" s="11">
        <v>1006</v>
      </c>
      <c r="U8" s="11">
        <v>1007</v>
      </c>
      <c r="V8" s="11">
        <v>405</v>
      </c>
      <c r="W8" s="11"/>
      <c r="X8" s="11">
        <v>2436</v>
      </c>
      <c r="Y8" s="11">
        <v>4402</v>
      </c>
    </row>
    <row r="9" spans="2:25" ht="29" x14ac:dyDescent="0.35">
      <c r="B9" s="18" t="s">
        <v>99</v>
      </c>
      <c r="C9" s="17">
        <v>0.92227511084595803</v>
      </c>
      <c r="D9" s="17">
        <v>0.91996483011241104</v>
      </c>
      <c r="E9" s="17">
        <v>0.92479168958581703</v>
      </c>
      <c r="F9" s="17"/>
      <c r="G9" s="17">
        <v>0.95166419172629302</v>
      </c>
      <c r="H9" s="17">
        <v>0.95047562761919802</v>
      </c>
      <c r="I9" s="17">
        <v>0.93833059598488899</v>
      </c>
      <c r="J9" s="17">
        <v>0.939698448060865</v>
      </c>
      <c r="K9" s="17">
        <v>0.91676894629222905</v>
      </c>
      <c r="L9" s="17">
        <v>0.87606298798638504</v>
      </c>
      <c r="M9" s="17"/>
      <c r="N9" s="17">
        <v>0.92472435322701896</v>
      </c>
      <c r="O9" s="17">
        <v>0.95264204248303297</v>
      </c>
      <c r="P9" s="17">
        <v>0.90618154645603999</v>
      </c>
      <c r="Q9" s="17">
        <v>0.88620471981223103</v>
      </c>
      <c r="R9" s="17">
        <v>0.96278836557813596</v>
      </c>
      <c r="S9" s="17">
        <v>0.90492741445710101</v>
      </c>
      <c r="T9" s="17">
        <v>0.94146466220851399</v>
      </c>
      <c r="U9" s="17">
        <v>0.92624726290845605</v>
      </c>
      <c r="V9" s="17">
        <v>0.92001620424883201</v>
      </c>
      <c r="W9" s="17"/>
      <c r="X9" s="17">
        <v>0.93091339839541498</v>
      </c>
      <c r="Y9" s="17">
        <v>0.91749497167498395</v>
      </c>
    </row>
    <row r="10" spans="2:25" ht="29" x14ac:dyDescent="0.35">
      <c r="B10" s="18" t="s">
        <v>100</v>
      </c>
      <c r="C10" s="17">
        <v>0.89348161257509395</v>
      </c>
      <c r="D10" s="17">
        <v>0.90834712347472601</v>
      </c>
      <c r="E10" s="17">
        <v>0.87932271466212197</v>
      </c>
      <c r="F10" s="17"/>
      <c r="G10" s="17">
        <v>0.85441284584527699</v>
      </c>
      <c r="H10" s="17">
        <v>0.88104781140284005</v>
      </c>
      <c r="I10" s="17">
        <v>0.85341026146370502</v>
      </c>
      <c r="J10" s="17">
        <v>0.88246195415276996</v>
      </c>
      <c r="K10" s="17">
        <v>0.91845287904974904</v>
      </c>
      <c r="L10" s="17">
        <v>0.93217912642982204</v>
      </c>
      <c r="M10" s="17"/>
      <c r="N10" s="17">
        <v>0.88148733584067296</v>
      </c>
      <c r="O10" s="17">
        <v>0.85325250020902399</v>
      </c>
      <c r="P10" s="17">
        <v>0.89991189783158498</v>
      </c>
      <c r="Q10" s="17">
        <v>0.89121316792810001</v>
      </c>
      <c r="R10" s="17">
        <v>0.89654477263194399</v>
      </c>
      <c r="S10" s="17">
        <v>0.88134372853194398</v>
      </c>
      <c r="T10" s="17">
        <v>0.91658112447140505</v>
      </c>
      <c r="U10" s="17">
        <v>0.88898079612845404</v>
      </c>
      <c r="V10" s="17">
        <v>0.88556912541058996</v>
      </c>
      <c r="W10" s="17"/>
      <c r="X10" s="17">
        <v>0.92542068394170496</v>
      </c>
      <c r="Y10" s="17">
        <v>0.87580759961246102</v>
      </c>
    </row>
    <row r="11" spans="2:25" x14ac:dyDescent="0.35">
      <c r="B11" s="18" t="s">
        <v>101</v>
      </c>
      <c r="C11" s="17">
        <v>0.49404024891062598</v>
      </c>
      <c r="D11" s="17">
        <v>0.498263206673071</v>
      </c>
      <c r="E11" s="17">
        <v>0.489996783464067</v>
      </c>
      <c r="F11" s="17"/>
      <c r="G11" s="17">
        <v>0.39165258850936202</v>
      </c>
      <c r="H11" s="17">
        <v>0.52094721870353</v>
      </c>
      <c r="I11" s="17">
        <v>0.55498536190701697</v>
      </c>
      <c r="J11" s="17">
        <v>0.52767177669815701</v>
      </c>
      <c r="K11" s="17">
        <v>0.49477574416973802</v>
      </c>
      <c r="L11" s="17">
        <v>0.45365536542589202</v>
      </c>
      <c r="M11" s="17"/>
      <c r="N11" s="17">
        <v>0.47377655059245899</v>
      </c>
      <c r="O11" s="17">
        <v>0.41330666536413602</v>
      </c>
      <c r="P11" s="17">
        <v>0.46100901766083802</v>
      </c>
      <c r="Q11" s="17">
        <v>0.49233666862673903</v>
      </c>
      <c r="R11" s="17">
        <v>0.50601219440844003</v>
      </c>
      <c r="S11" s="17">
        <v>0.53265918624156405</v>
      </c>
      <c r="T11" s="17">
        <v>0.42543511865288097</v>
      </c>
      <c r="U11" s="17">
        <v>0.57258648220564201</v>
      </c>
      <c r="V11" s="17">
        <v>0.47975052010107899</v>
      </c>
      <c r="W11" s="17"/>
      <c r="X11" s="17">
        <v>0.552723059759333</v>
      </c>
      <c r="Y11" s="17">
        <v>0.46156714574119501</v>
      </c>
    </row>
    <row r="12" spans="2:25" ht="43.5" x14ac:dyDescent="0.35">
      <c r="B12" s="18" t="s">
        <v>102</v>
      </c>
      <c r="C12" s="17">
        <v>0.31717858562872697</v>
      </c>
      <c r="D12" s="17">
        <v>0.37925896586873498</v>
      </c>
      <c r="E12" s="17">
        <v>0.257521370959305</v>
      </c>
      <c r="F12" s="17"/>
      <c r="G12" s="17">
        <v>0.56369989014616195</v>
      </c>
      <c r="H12" s="17">
        <v>0.55439525739847395</v>
      </c>
      <c r="I12" s="17">
        <v>0.49362050846987199</v>
      </c>
      <c r="J12" s="17">
        <v>0.35371740928780998</v>
      </c>
      <c r="K12" s="17">
        <v>0.15946160995436001</v>
      </c>
      <c r="L12" s="17">
        <v>5.0672235944265703E-2</v>
      </c>
      <c r="M12" s="17"/>
      <c r="N12" s="17">
        <v>0.18865115076509201</v>
      </c>
      <c r="O12" s="17">
        <v>0.244889151509077</v>
      </c>
      <c r="P12" s="17">
        <v>0.32865895269067402</v>
      </c>
      <c r="Q12" s="17">
        <v>0.30987106780777901</v>
      </c>
      <c r="R12" s="17">
        <v>0.32057959732549901</v>
      </c>
      <c r="S12" s="17">
        <v>0.248201683984939</v>
      </c>
      <c r="T12" s="17">
        <v>0.35034146033020203</v>
      </c>
      <c r="U12" s="17">
        <v>0.39969282957135699</v>
      </c>
      <c r="V12" s="17">
        <v>0.28389027701297997</v>
      </c>
      <c r="W12" s="17"/>
      <c r="X12" s="17">
        <v>0.36086644355491398</v>
      </c>
      <c r="Y12" s="17">
        <v>0.293003187464074</v>
      </c>
    </row>
    <row r="13" spans="2:25" ht="29" x14ac:dyDescent="0.35">
      <c r="B13" s="18" t="s">
        <v>103</v>
      </c>
      <c r="C13" s="17">
        <v>0.26752550139949299</v>
      </c>
      <c r="D13" s="17">
        <v>0.27727836309091197</v>
      </c>
      <c r="E13" s="17">
        <v>0.25774657961479802</v>
      </c>
      <c r="F13" s="17"/>
      <c r="G13" s="17">
        <v>0.32575947950470002</v>
      </c>
      <c r="H13" s="17">
        <v>0.4092758208217</v>
      </c>
      <c r="I13" s="17">
        <v>0.33405359184965799</v>
      </c>
      <c r="J13" s="17">
        <v>0.27324571737338799</v>
      </c>
      <c r="K13" s="17">
        <v>0.19274207173612401</v>
      </c>
      <c r="L13" s="17">
        <v>0.16458023209186701</v>
      </c>
      <c r="M13" s="17"/>
      <c r="N13" s="17">
        <v>0.24399093624554299</v>
      </c>
      <c r="O13" s="17">
        <v>0.225489853766668</v>
      </c>
      <c r="P13" s="17">
        <v>0.20410004574030399</v>
      </c>
      <c r="Q13" s="17">
        <v>0.24104837313815</v>
      </c>
      <c r="R13" s="17">
        <v>0.28153073490254399</v>
      </c>
      <c r="S13" s="17">
        <v>0.23727349362453101</v>
      </c>
      <c r="T13" s="17">
        <v>0.32161532281960598</v>
      </c>
      <c r="U13" s="17">
        <v>0.36162316263113498</v>
      </c>
      <c r="V13" s="17">
        <v>0.19476825222934499</v>
      </c>
      <c r="W13" s="17"/>
      <c r="X13" s="17">
        <v>0.32832865649704102</v>
      </c>
      <c r="Y13" s="17">
        <v>0.233879070699367</v>
      </c>
    </row>
    <row r="14" spans="2:25" ht="29" x14ac:dyDescent="0.35">
      <c r="B14" s="18" t="s">
        <v>104</v>
      </c>
      <c r="C14" s="17">
        <v>0.21738332665972099</v>
      </c>
      <c r="D14" s="17">
        <v>0.24665274350097</v>
      </c>
      <c r="E14" s="17">
        <v>0.189232254850009</v>
      </c>
      <c r="F14" s="17"/>
      <c r="G14" s="17">
        <v>0.26183746604688701</v>
      </c>
      <c r="H14" s="17">
        <v>0.29083430665173199</v>
      </c>
      <c r="I14" s="17">
        <v>0.29361476123591201</v>
      </c>
      <c r="J14" s="17">
        <v>0.21569048900202001</v>
      </c>
      <c r="K14" s="17">
        <v>0.19187255023989699</v>
      </c>
      <c r="L14" s="17">
        <v>0.12640761314333601</v>
      </c>
      <c r="M14" s="17"/>
      <c r="N14" s="17">
        <v>0.202201798460864</v>
      </c>
      <c r="O14" s="17">
        <v>5.9198911524500901E-2</v>
      </c>
      <c r="P14" s="17">
        <v>0.21229178473541899</v>
      </c>
      <c r="Q14" s="17">
        <v>0.22614073853546701</v>
      </c>
      <c r="R14" s="17">
        <v>0.30363550317412902</v>
      </c>
      <c r="S14" s="17">
        <v>0.15056540365097801</v>
      </c>
      <c r="T14" s="17">
        <v>0.123784499300166</v>
      </c>
      <c r="U14" s="17">
        <v>0.333065425438547</v>
      </c>
      <c r="V14" s="17">
        <v>0.19128245309077199</v>
      </c>
      <c r="W14" s="17"/>
      <c r="X14" s="17">
        <v>0.27004450769423799</v>
      </c>
      <c r="Y14" s="17">
        <v>0.188242391860828</v>
      </c>
    </row>
    <row r="15" spans="2:25" ht="29" x14ac:dyDescent="0.35">
      <c r="B15" s="18" t="s">
        <v>105</v>
      </c>
      <c r="C15" s="17">
        <v>4.1268842190583903E-2</v>
      </c>
      <c r="D15" s="17">
        <v>5.22518930908158E-2</v>
      </c>
      <c r="E15" s="17">
        <v>3.08382007824251E-2</v>
      </c>
      <c r="F15" s="17"/>
      <c r="G15" s="17">
        <v>6.4496491602083997E-2</v>
      </c>
      <c r="H15" s="17">
        <v>8.3256143615193803E-2</v>
      </c>
      <c r="I15" s="17">
        <v>6.1249312293390597E-2</v>
      </c>
      <c r="J15" s="17">
        <v>4.37997025223891E-2</v>
      </c>
      <c r="K15" s="17">
        <v>1.9151709399939602E-2</v>
      </c>
      <c r="L15" s="17">
        <v>7.7808345721662496E-3</v>
      </c>
      <c r="M15" s="17"/>
      <c r="N15" s="17">
        <v>5.3013364994215703E-2</v>
      </c>
      <c r="O15" s="17">
        <v>7.2288334685751202E-3</v>
      </c>
      <c r="P15" s="17">
        <v>3.51304737017391E-2</v>
      </c>
      <c r="Q15" s="17">
        <v>3.5553201762329699E-2</v>
      </c>
      <c r="R15" s="17">
        <v>3.3913294536751099E-2</v>
      </c>
      <c r="S15" s="17">
        <v>5.6747402729466399E-2</v>
      </c>
      <c r="T15" s="17">
        <v>4.1051695497864298E-2</v>
      </c>
      <c r="U15" s="17">
        <v>4.6502598130256E-2</v>
      </c>
      <c r="V15" s="17">
        <v>4.8659019818439002E-2</v>
      </c>
      <c r="W15" s="17"/>
      <c r="X15" s="17">
        <v>6.7261439922494698E-2</v>
      </c>
      <c r="Y15" s="17">
        <v>2.6885408684544299E-2</v>
      </c>
    </row>
    <row r="16" spans="2:25" x14ac:dyDescent="0.35">
      <c r="B16" s="18" t="s">
        <v>106</v>
      </c>
      <c r="C16" s="17">
        <v>1.2940824934316499E-2</v>
      </c>
      <c r="D16" s="17">
        <v>1.44496615965826E-2</v>
      </c>
      <c r="E16" s="17">
        <v>1.1572186760117001E-2</v>
      </c>
      <c r="F16" s="17"/>
      <c r="G16" s="17">
        <v>1.7050106801583201E-2</v>
      </c>
      <c r="H16" s="17">
        <v>9.1742489571224398E-3</v>
      </c>
      <c r="I16" s="17">
        <v>6.0088460749929701E-3</v>
      </c>
      <c r="J16" s="17">
        <v>1.16657324076223E-2</v>
      </c>
      <c r="K16" s="17">
        <v>1.41347709306472E-2</v>
      </c>
      <c r="L16" s="17">
        <v>1.8173316869194499E-2</v>
      </c>
      <c r="M16" s="17"/>
      <c r="N16" s="17">
        <v>3.2986748044930098E-2</v>
      </c>
      <c r="O16" s="17">
        <v>3.2101224728455502E-2</v>
      </c>
      <c r="P16" s="17">
        <v>9.7758010886224295E-3</v>
      </c>
      <c r="Q16" s="17">
        <v>1.30322368275347E-2</v>
      </c>
      <c r="R16" s="17">
        <v>1.44571524023178E-2</v>
      </c>
      <c r="S16" s="17">
        <v>1.2936571712374501E-2</v>
      </c>
      <c r="T16" s="17">
        <v>1.04117213902965E-2</v>
      </c>
      <c r="U16" s="17">
        <v>1.2262759293225E-2</v>
      </c>
      <c r="V16" s="17">
        <v>5.0081984246744303E-3</v>
      </c>
      <c r="W16" s="17"/>
      <c r="X16" s="17">
        <v>1.4285199246580499E-2</v>
      </c>
      <c r="Y16" s="17">
        <v>1.21968931916288E-2</v>
      </c>
    </row>
    <row r="17" spans="2:25" x14ac:dyDescent="0.35">
      <c r="B17" s="18" t="s">
        <v>48</v>
      </c>
      <c r="C17" s="19">
        <v>4.7766975689133599E-3</v>
      </c>
      <c r="D17" s="19">
        <v>5.53678766283589E-3</v>
      </c>
      <c r="E17" s="19">
        <v>4.0802618318989499E-3</v>
      </c>
      <c r="F17" s="19"/>
      <c r="G17" s="19">
        <v>2.1628294781985799E-3</v>
      </c>
      <c r="H17" s="19">
        <v>3.34314944154344E-3</v>
      </c>
      <c r="I17" s="19">
        <v>9.6527094803800992E-3</v>
      </c>
      <c r="J17" s="19">
        <v>6.6797441551763202E-3</v>
      </c>
      <c r="K17" s="19">
        <v>3.8549331355858499E-3</v>
      </c>
      <c r="L17" s="19">
        <v>2.7766263565599898E-3</v>
      </c>
      <c r="M17" s="19"/>
      <c r="N17" s="19">
        <v>0</v>
      </c>
      <c r="O17" s="19">
        <v>0</v>
      </c>
      <c r="P17" s="19">
        <v>9.7251325226773901E-3</v>
      </c>
      <c r="Q17" s="19">
        <v>5.7979386443295601E-3</v>
      </c>
      <c r="R17" s="19">
        <v>7.8713781966165098E-4</v>
      </c>
      <c r="S17" s="19">
        <v>6.3991778121939196E-3</v>
      </c>
      <c r="T17" s="19">
        <v>1.63096585660231E-3</v>
      </c>
      <c r="U17" s="19">
        <v>5.4990131934240898E-3</v>
      </c>
      <c r="V17" s="19">
        <v>6.7022700164194298E-3</v>
      </c>
      <c r="W17" s="19"/>
      <c r="X17" s="19">
        <v>4.6301395553668499E-3</v>
      </c>
      <c r="Y17" s="19">
        <v>4.8577978677124796E-3</v>
      </c>
    </row>
    <row r="18" spans="2:25" x14ac:dyDescent="0.35">
      <c r="B18" s="16"/>
    </row>
    <row r="19" spans="2:25" x14ac:dyDescent="0.35">
      <c r="B19" t="s">
        <v>51</v>
      </c>
    </row>
    <row r="20" spans="2:25" x14ac:dyDescent="0.35">
      <c r="B20" t="s">
        <v>52</v>
      </c>
    </row>
    <row r="22" spans="2:25" x14ac:dyDescent="0.35">
      <c r="B22" s="8" t="str">
        <f>HYPERLINK("#'Contents'!A1", "Return to Contents")</f>
        <v>Return to Contents</v>
      </c>
    </row>
  </sheetData>
  <mergeCells count="5">
    <mergeCell ref="D5:E5"/>
    <mergeCell ref="G5:L5"/>
    <mergeCell ref="N5:V5"/>
    <mergeCell ref="X5:Y5"/>
    <mergeCell ref="D2:W2"/>
  </mergeCells>
  <pageMargins left="0.7" right="0.7" top="0.75" bottom="0.75" header="0.3" footer="0.3"/>
  <pageSetup paperSize="9" orientation="portrait" horizontalDpi="300" verticalDpi="300"/>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B2:Y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s>
  <sheetData>
    <row r="2" spans="2:25" ht="40" customHeight="1" x14ac:dyDescent="0.35">
      <c r="D2" s="30" t="s">
        <v>111</v>
      </c>
      <c r="E2" s="26"/>
      <c r="F2" s="26"/>
      <c r="G2" s="26"/>
      <c r="H2" s="26"/>
      <c r="I2" s="26"/>
      <c r="J2" s="26"/>
      <c r="K2" s="26"/>
      <c r="L2" s="26"/>
      <c r="M2" s="26"/>
      <c r="N2" s="26"/>
      <c r="O2" s="26"/>
      <c r="P2" s="26"/>
      <c r="Q2" s="26"/>
      <c r="R2" s="26"/>
      <c r="S2" s="26"/>
      <c r="T2" s="26"/>
      <c r="U2" s="26"/>
      <c r="V2" s="26"/>
      <c r="W2" s="26"/>
    </row>
    <row r="5" spans="2:25" ht="30" customHeight="1" x14ac:dyDescent="0.35">
      <c r="B5" s="15"/>
      <c r="C5" s="15"/>
      <c r="D5" s="29" t="s">
        <v>38</v>
      </c>
      <c r="E5" s="29"/>
      <c r="F5" s="15"/>
      <c r="G5" s="29" t="s">
        <v>39</v>
      </c>
      <c r="H5" s="29"/>
      <c r="I5" s="29"/>
      <c r="J5" s="29"/>
      <c r="K5" s="29"/>
      <c r="L5" s="29"/>
      <c r="M5" s="15"/>
      <c r="N5" s="29" t="s">
        <v>40</v>
      </c>
      <c r="O5" s="29"/>
      <c r="P5" s="29"/>
      <c r="Q5" s="29"/>
      <c r="R5" s="29"/>
      <c r="S5" s="29"/>
      <c r="T5" s="29"/>
      <c r="U5" s="29"/>
      <c r="V5" s="29"/>
      <c r="W5" s="15"/>
      <c r="X5" s="29" t="s">
        <v>41</v>
      </c>
      <c r="Y5" s="29"/>
    </row>
    <row r="6" spans="2:25" ht="29"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row>
    <row r="7" spans="2:25" ht="30" customHeight="1" x14ac:dyDescent="0.35">
      <c r="B7" s="10" t="s">
        <v>19</v>
      </c>
      <c r="C7" s="10">
        <v>6838</v>
      </c>
      <c r="D7" s="10">
        <v>3283</v>
      </c>
      <c r="E7" s="10">
        <v>3541</v>
      </c>
      <c r="F7" s="10"/>
      <c r="G7" s="10">
        <v>635</v>
      </c>
      <c r="H7" s="10">
        <v>1075</v>
      </c>
      <c r="I7" s="10">
        <v>1093</v>
      </c>
      <c r="J7" s="10">
        <v>1228</v>
      </c>
      <c r="K7" s="10">
        <v>1156</v>
      </c>
      <c r="L7" s="10">
        <v>1651</v>
      </c>
      <c r="M7" s="10"/>
      <c r="N7" s="10">
        <v>208</v>
      </c>
      <c r="O7" s="10">
        <v>200</v>
      </c>
      <c r="P7" s="10">
        <v>1002</v>
      </c>
      <c r="Q7" s="10">
        <v>1000</v>
      </c>
      <c r="R7" s="10">
        <v>1004</v>
      </c>
      <c r="S7" s="10">
        <v>1006</v>
      </c>
      <c r="T7" s="10">
        <v>1006</v>
      </c>
      <c r="U7" s="10">
        <v>1007</v>
      </c>
      <c r="V7" s="10">
        <v>405</v>
      </c>
      <c r="W7" s="10"/>
      <c r="X7" s="10">
        <v>2650</v>
      </c>
      <c r="Y7" s="10">
        <v>4188</v>
      </c>
    </row>
    <row r="8" spans="2:25" ht="30" customHeight="1" x14ac:dyDescent="0.35">
      <c r="B8" s="11" t="s">
        <v>20</v>
      </c>
      <c r="C8" s="11">
        <v>6838</v>
      </c>
      <c r="D8" s="11">
        <v>3309</v>
      </c>
      <c r="E8" s="11">
        <v>3515</v>
      </c>
      <c r="F8" s="11"/>
      <c r="G8" s="11">
        <v>645</v>
      </c>
      <c r="H8" s="11">
        <v>1026</v>
      </c>
      <c r="I8" s="11">
        <v>1111</v>
      </c>
      <c r="J8" s="11">
        <v>1184</v>
      </c>
      <c r="K8" s="11">
        <v>1140</v>
      </c>
      <c r="L8" s="11">
        <v>1732</v>
      </c>
      <c r="M8" s="11"/>
      <c r="N8" s="11">
        <v>208</v>
      </c>
      <c r="O8" s="11">
        <v>200</v>
      </c>
      <c r="P8" s="11">
        <v>1002</v>
      </c>
      <c r="Q8" s="11">
        <v>1000</v>
      </c>
      <c r="R8" s="11">
        <v>1004</v>
      </c>
      <c r="S8" s="11">
        <v>1006</v>
      </c>
      <c r="T8" s="11">
        <v>1006</v>
      </c>
      <c r="U8" s="11">
        <v>1007</v>
      </c>
      <c r="V8" s="11">
        <v>405</v>
      </c>
      <c r="W8" s="11"/>
      <c r="X8" s="11">
        <v>2436</v>
      </c>
      <c r="Y8" s="11">
        <v>4402</v>
      </c>
    </row>
    <row r="9" spans="2:25" ht="43.5" x14ac:dyDescent="0.35">
      <c r="B9" s="18" t="s">
        <v>108</v>
      </c>
      <c r="C9" s="17">
        <v>0.25529524557344602</v>
      </c>
      <c r="D9" s="17">
        <v>0.33455294448849199</v>
      </c>
      <c r="E9" s="17">
        <v>0.17970403002145299</v>
      </c>
      <c r="F9" s="17"/>
      <c r="G9" s="17">
        <v>0.45696827006359902</v>
      </c>
      <c r="H9" s="17">
        <v>0.42578487305788898</v>
      </c>
      <c r="I9" s="17">
        <v>0.34211389272009202</v>
      </c>
      <c r="J9" s="17">
        <v>0.23889813652560701</v>
      </c>
      <c r="K9" s="17">
        <v>0.14647891667471799</v>
      </c>
      <c r="L9" s="17">
        <v>0.106455898279357</v>
      </c>
      <c r="M9" s="17"/>
      <c r="N9" s="17">
        <v>0.23744547060896001</v>
      </c>
      <c r="O9" s="17">
        <v>0.161302182682351</v>
      </c>
      <c r="P9" s="17">
        <v>0.21158272024063099</v>
      </c>
      <c r="Q9" s="17">
        <v>0.20775777097533099</v>
      </c>
      <c r="R9" s="17">
        <v>0.178205877130312</v>
      </c>
      <c r="S9" s="17">
        <v>0.182329519587031</v>
      </c>
      <c r="T9" s="17">
        <v>0.47008772266149101</v>
      </c>
      <c r="U9" s="17">
        <v>0.30033911434709498</v>
      </c>
      <c r="V9" s="17">
        <v>0.26322025595870702</v>
      </c>
      <c r="W9" s="17"/>
      <c r="X9" s="17">
        <v>0.33489565419260803</v>
      </c>
      <c r="Y9" s="17">
        <v>0.21124704399559099</v>
      </c>
    </row>
    <row r="10" spans="2:25" ht="43.5" x14ac:dyDescent="0.35">
      <c r="B10" s="18" t="s">
        <v>109</v>
      </c>
      <c r="C10" s="17">
        <v>0.44867756413771298</v>
      </c>
      <c r="D10" s="17">
        <v>0.43025303802484199</v>
      </c>
      <c r="E10" s="17">
        <v>0.46662477715741002</v>
      </c>
      <c r="F10" s="17"/>
      <c r="G10" s="17">
        <v>0.397395750629286</v>
      </c>
      <c r="H10" s="17">
        <v>0.43682962282885102</v>
      </c>
      <c r="I10" s="17">
        <v>0.44490552168069503</v>
      </c>
      <c r="J10" s="17">
        <v>0.47471569153398702</v>
      </c>
      <c r="K10" s="17">
        <v>0.47649277270261198</v>
      </c>
      <c r="L10" s="17">
        <v>0.44109367601175498</v>
      </c>
      <c r="M10" s="17"/>
      <c r="N10" s="17">
        <v>0.47341334755579401</v>
      </c>
      <c r="O10" s="17">
        <v>0.50712095943457203</v>
      </c>
      <c r="P10" s="17">
        <v>0.43274786091259998</v>
      </c>
      <c r="Q10" s="17">
        <v>0.42390042477099699</v>
      </c>
      <c r="R10" s="17">
        <v>0.52104345010942998</v>
      </c>
      <c r="S10" s="17">
        <v>0.37949782411066202</v>
      </c>
      <c r="T10" s="17">
        <v>0.44745332226662399</v>
      </c>
      <c r="U10" s="17">
        <v>0.45757524698801399</v>
      </c>
      <c r="V10" s="17">
        <v>0.48106292125281103</v>
      </c>
      <c r="W10" s="17"/>
      <c r="X10" s="17">
        <v>0.45613914096744002</v>
      </c>
      <c r="Y10" s="17">
        <v>0.44454857728970598</v>
      </c>
    </row>
    <row r="11" spans="2:25" ht="43.5" x14ac:dyDescent="0.35">
      <c r="B11" s="18" t="s">
        <v>110</v>
      </c>
      <c r="C11" s="17">
        <v>0.28117416733131501</v>
      </c>
      <c r="D11" s="17">
        <v>0.223727657559744</v>
      </c>
      <c r="E11" s="17">
        <v>0.33557053022760702</v>
      </c>
      <c r="F11" s="17"/>
      <c r="G11" s="17">
        <v>0.12878058602040199</v>
      </c>
      <c r="H11" s="17">
        <v>0.12297169984532</v>
      </c>
      <c r="I11" s="17">
        <v>0.19931077815832299</v>
      </c>
      <c r="J11" s="17">
        <v>0.266314124785555</v>
      </c>
      <c r="K11" s="17">
        <v>0.36487339459565399</v>
      </c>
      <c r="L11" s="17">
        <v>0.43911405911191298</v>
      </c>
      <c r="M11" s="17"/>
      <c r="N11" s="17">
        <v>0.26646167888408401</v>
      </c>
      <c r="O11" s="17">
        <v>0.29545568019782598</v>
      </c>
      <c r="P11" s="17">
        <v>0.33859389764739201</v>
      </c>
      <c r="Q11" s="17">
        <v>0.35275868947983802</v>
      </c>
      <c r="R11" s="17">
        <v>0.28726073330532098</v>
      </c>
      <c r="S11" s="17">
        <v>0.42682173713962601</v>
      </c>
      <c r="T11" s="17">
        <v>6.8722030067165402E-2</v>
      </c>
      <c r="U11" s="17">
        <v>0.22691607479359599</v>
      </c>
      <c r="V11" s="17">
        <v>0.248624006606984</v>
      </c>
      <c r="W11" s="17"/>
      <c r="X11" s="17">
        <v>0.19969438921081301</v>
      </c>
      <c r="Y11" s="17">
        <v>0.32626234908100998</v>
      </c>
    </row>
    <row r="12" spans="2:25" x14ac:dyDescent="0.35">
      <c r="B12" s="18" t="s">
        <v>69</v>
      </c>
      <c r="C12" s="19">
        <v>1.4853022957526101E-2</v>
      </c>
      <c r="D12" s="19">
        <v>1.14663599269226E-2</v>
      </c>
      <c r="E12" s="19">
        <v>1.8100662593529899E-2</v>
      </c>
      <c r="F12" s="19"/>
      <c r="G12" s="19">
        <v>1.6855393286713299E-2</v>
      </c>
      <c r="H12" s="19">
        <v>1.44138042679393E-2</v>
      </c>
      <c r="I12" s="19">
        <v>1.3669807440889799E-2</v>
      </c>
      <c r="J12" s="19">
        <v>2.0072047154850701E-2</v>
      </c>
      <c r="K12" s="19">
        <v>1.2154916027015499E-2</v>
      </c>
      <c r="L12" s="19">
        <v>1.33363665969757E-2</v>
      </c>
      <c r="M12" s="19"/>
      <c r="N12" s="19">
        <v>2.26795029511624E-2</v>
      </c>
      <c r="O12" s="19">
        <v>3.6121177685251298E-2</v>
      </c>
      <c r="P12" s="19">
        <v>1.70755211993768E-2</v>
      </c>
      <c r="Q12" s="19">
        <v>1.55831147738331E-2</v>
      </c>
      <c r="R12" s="19">
        <v>1.34899394549372E-2</v>
      </c>
      <c r="S12" s="19">
        <v>1.13509191626811E-2</v>
      </c>
      <c r="T12" s="19">
        <v>1.3736925004719401E-2</v>
      </c>
      <c r="U12" s="19">
        <v>1.5169563871295399E-2</v>
      </c>
      <c r="V12" s="19">
        <v>7.0928161814977596E-3</v>
      </c>
      <c r="W12" s="19"/>
      <c r="X12" s="19">
        <v>9.2708156291388608E-3</v>
      </c>
      <c r="Y12" s="19">
        <v>1.7942029633692701E-2</v>
      </c>
    </row>
    <row r="13" spans="2:25" x14ac:dyDescent="0.35">
      <c r="B13" s="16"/>
    </row>
    <row r="14" spans="2:25" x14ac:dyDescent="0.35">
      <c r="B14" t="s">
        <v>51</v>
      </c>
    </row>
    <row r="15" spans="2:25" x14ac:dyDescent="0.35">
      <c r="B15" t="s">
        <v>52</v>
      </c>
    </row>
    <row r="17" spans="2:2" x14ac:dyDescent="0.35">
      <c r="B17" s="8" t="str">
        <f>HYPERLINK("#'Contents'!A1", "Return to Contents")</f>
        <v>Return to Contents</v>
      </c>
    </row>
  </sheetData>
  <mergeCells count="5">
    <mergeCell ref="D5:E5"/>
    <mergeCell ref="G5:L5"/>
    <mergeCell ref="N5:V5"/>
    <mergeCell ref="X5:Y5"/>
    <mergeCell ref="D2:W2"/>
  </mergeCells>
  <pageMargins left="0.7" right="0.7" top="0.75" bottom="0.75" header="0.3" footer="0.3"/>
  <pageSetup paperSize="9" orientation="portrait" horizontalDpi="300" verticalDpi="300"/>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B2:Y2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s>
  <sheetData>
    <row r="2" spans="2:25" ht="40" customHeight="1" x14ac:dyDescent="0.35">
      <c r="D2" s="30" t="s">
        <v>126</v>
      </c>
      <c r="E2" s="26"/>
      <c r="F2" s="26"/>
      <c r="G2" s="26"/>
      <c r="H2" s="26"/>
      <c r="I2" s="26"/>
      <c r="J2" s="26"/>
      <c r="K2" s="26"/>
      <c r="L2" s="26"/>
      <c r="M2" s="26"/>
      <c r="N2" s="26"/>
      <c r="O2" s="26"/>
      <c r="P2" s="26"/>
      <c r="Q2" s="26"/>
      <c r="R2" s="26"/>
      <c r="S2" s="26"/>
      <c r="T2" s="26"/>
      <c r="U2" s="26"/>
      <c r="V2" s="26"/>
      <c r="W2" s="26"/>
    </row>
    <row r="5" spans="2:25" ht="30" customHeight="1" x14ac:dyDescent="0.35">
      <c r="B5" s="15"/>
      <c r="C5" s="15"/>
      <c r="D5" s="29" t="s">
        <v>38</v>
      </c>
      <c r="E5" s="29"/>
      <c r="F5" s="15"/>
      <c r="G5" s="29" t="s">
        <v>39</v>
      </c>
      <c r="H5" s="29"/>
      <c r="I5" s="29"/>
      <c r="J5" s="29"/>
      <c r="K5" s="29"/>
      <c r="L5" s="29"/>
      <c r="M5" s="15"/>
      <c r="N5" s="29" t="s">
        <v>40</v>
      </c>
      <c r="O5" s="29"/>
      <c r="P5" s="29"/>
      <c r="Q5" s="29"/>
      <c r="R5" s="29"/>
      <c r="S5" s="29"/>
      <c r="T5" s="29"/>
      <c r="U5" s="29"/>
      <c r="V5" s="29"/>
      <c r="W5" s="15"/>
      <c r="X5" s="29" t="s">
        <v>41</v>
      </c>
      <c r="Y5" s="29"/>
    </row>
    <row r="6" spans="2:25" ht="29"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row>
    <row r="7" spans="2:25" ht="30" customHeight="1" x14ac:dyDescent="0.35">
      <c r="B7" s="10" t="s">
        <v>19</v>
      </c>
      <c r="C7" s="10">
        <v>6838</v>
      </c>
      <c r="D7" s="10">
        <v>3283</v>
      </c>
      <c r="E7" s="10">
        <v>3541</v>
      </c>
      <c r="F7" s="10"/>
      <c r="G7" s="10">
        <v>635</v>
      </c>
      <c r="H7" s="10">
        <v>1075</v>
      </c>
      <c r="I7" s="10">
        <v>1093</v>
      </c>
      <c r="J7" s="10">
        <v>1228</v>
      </c>
      <c r="K7" s="10">
        <v>1156</v>
      </c>
      <c r="L7" s="10">
        <v>1651</v>
      </c>
      <c r="M7" s="10"/>
      <c r="N7" s="10">
        <v>208</v>
      </c>
      <c r="O7" s="10">
        <v>200</v>
      </c>
      <c r="P7" s="10">
        <v>1002</v>
      </c>
      <c r="Q7" s="10">
        <v>1000</v>
      </c>
      <c r="R7" s="10">
        <v>1004</v>
      </c>
      <c r="S7" s="10">
        <v>1006</v>
      </c>
      <c r="T7" s="10">
        <v>1006</v>
      </c>
      <c r="U7" s="10">
        <v>1007</v>
      </c>
      <c r="V7" s="10">
        <v>405</v>
      </c>
      <c r="W7" s="10"/>
      <c r="X7" s="10">
        <v>2650</v>
      </c>
      <c r="Y7" s="10">
        <v>4188</v>
      </c>
    </row>
    <row r="8" spans="2:25" ht="30" customHeight="1" x14ac:dyDescent="0.35">
      <c r="B8" s="11" t="s">
        <v>20</v>
      </c>
      <c r="C8" s="11">
        <v>6838</v>
      </c>
      <c r="D8" s="11">
        <v>3309</v>
      </c>
      <c r="E8" s="11">
        <v>3515</v>
      </c>
      <c r="F8" s="11"/>
      <c r="G8" s="11">
        <v>645</v>
      </c>
      <c r="H8" s="11">
        <v>1026</v>
      </c>
      <c r="I8" s="11">
        <v>1111</v>
      </c>
      <c r="J8" s="11">
        <v>1184</v>
      </c>
      <c r="K8" s="11">
        <v>1140</v>
      </c>
      <c r="L8" s="11">
        <v>1732</v>
      </c>
      <c r="M8" s="11"/>
      <c r="N8" s="11">
        <v>208</v>
      </c>
      <c r="O8" s="11">
        <v>200</v>
      </c>
      <c r="P8" s="11">
        <v>1002</v>
      </c>
      <c r="Q8" s="11">
        <v>1000</v>
      </c>
      <c r="R8" s="11">
        <v>1004</v>
      </c>
      <c r="S8" s="11">
        <v>1006</v>
      </c>
      <c r="T8" s="11">
        <v>1006</v>
      </c>
      <c r="U8" s="11">
        <v>1007</v>
      </c>
      <c r="V8" s="11">
        <v>405</v>
      </c>
      <c r="W8" s="11"/>
      <c r="X8" s="11">
        <v>2436</v>
      </c>
      <c r="Y8" s="11">
        <v>4402</v>
      </c>
    </row>
    <row r="9" spans="2:25" x14ac:dyDescent="0.35">
      <c r="B9" s="18" t="s">
        <v>112</v>
      </c>
      <c r="C9" s="17">
        <v>0.81418855074473395</v>
      </c>
      <c r="D9" s="17">
        <v>0.82297469579798699</v>
      </c>
      <c r="E9" s="17">
        <v>0.80600653453416404</v>
      </c>
      <c r="F9" s="17"/>
      <c r="G9" s="17">
        <v>0.74595091975427397</v>
      </c>
      <c r="H9" s="17">
        <v>0.810857819194578</v>
      </c>
      <c r="I9" s="17">
        <v>0.81509382880196501</v>
      </c>
      <c r="J9" s="17">
        <v>0.84114374334105502</v>
      </c>
      <c r="K9" s="17">
        <v>0.82163172833273401</v>
      </c>
      <c r="L9" s="17">
        <v>0.817654965206559</v>
      </c>
      <c r="M9" s="17"/>
      <c r="N9" s="17">
        <v>0.79080723691461596</v>
      </c>
      <c r="O9" s="17">
        <v>0.88086548360927897</v>
      </c>
      <c r="P9" s="17">
        <v>0.80642218236607699</v>
      </c>
      <c r="Q9" s="17">
        <v>0.84013629922126198</v>
      </c>
      <c r="R9" s="17">
        <v>0.87114291140241296</v>
      </c>
      <c r="S9" s="17">
        <v>0.79214031416622199</v>
      </c>
      <c r="T9" s="17">
        <v>0.85920720103951997</v>
      </c>
      <c r="U9" s="17">
        <v>0.70869057568242599</v>
      </c>
      <c r="V9" s="17">
        <v>0.81248021971141204</v>
      </c>
      <c r="W9" s="17"/>
      <c r="X9" s="17">
        <v>0.83872732165444197</v>
      </c>
      <c r="Y9" s="17">
        <v>0.80060961633655803</v>
      </c>
    </row>
    <row r="10" spans="2:25" x14ac:dyDescent="0.35">
      <c r="B10" s="18" t="s">
        <v>113</v>
      </c>
      <c r="C10" s="17">
        <v>0.74731629144051803</v>
      </c>
      <c r="D10" s="17">
        <v>0.74988833773848196</v>
      </c>
      <c r="E10" s="17">
        <v>0.74476933304645498</v>
      </c>
      <c r="F10" s="17"/>
      <c r="G10" s="17">
        <v>0.66145081185826005</v>
      </c>
      <c r="H10" s="17">
        <v>0.76211696936300199</v>
      </c>
      <c r="I10" s="17">
        <v>0.76331490725075701</v>
      </c>
      <c r="J10" s="17">
        <v>0.75452901726878596</v>
      </c>
      <c r="K10" s="17">
        <v>0.77539351441481796</v>
      </c>
      <c r="L10" s="17">
        <v>0.73683693251187699</v>
      </c>
      <c r="M10" s="17"/>
      <c r="N10" s="17">
        <v>0.85482484081801902</v>
      </c>
      <c r="O10" s="17">
        <v>0.93964635094571203</v>
      </c>
      <c r="P10" s="17">
        <v>0.64629062449003105</v>
      </c>
      <c r="Q10" s="17">
        <v>0.71625590833382302</v>
      </c>
      <c r="R10" s="17">
        <v>0.63877394172861501</v>
      </c>
      <c r="S10" s="17">
        <v>0.79768460394541596</v>
      </c>
      <c r="T10" s="17">
        <v>0.87567018014729603</v>
      </c>
      <c r="U10" s="17">
        <v>0.70515923693369098</v>
      </c>
      <c r="V10" s="17">
        <v>0.85372234032866701</v>
      </c>
      <c r="W10" s="17"/>
      <c r="X10" s="17">
        <v>0.79481603882963203</v>
      </c>
      <c r="Y10" s="17">
        <v>0.72103152124664704</v>
      </c>
    </row>
    <row r="11" spans="2:25" x14ac:dyDescent="0.35">
      <c r="B11" s="18" t="s">
        <v>114</v>
      </c>
      <c r="C11" s="17">
        <v>0.73969378220668702</v>
      </c>
      <c r="D11" s="17">
        <v>0.69380140206770002</v>
      </c>
      <c r="E11" s="17">
        <v>0.78244033585686201</v>
      </c>
      <c r="F11" s="17"/>
      <c r="G11" s="17">
        <v>0.88565182623550298</v>
      </c>
      <c r="H11" s="17">
        <v>0.8720964273256</v>
      </c>
      <c r="I11" s="17">
        <v>0.79985223968693198</v>
      </c>
      <c r="J11" s="17">
        <v>0.76979564373828602</v>
      </c>
      <c r="K11" s="17">
        <v>0.67721253834063999</v>
      </c>
      <c r="L11" s="17">
        <v>0.58896307953438898</v>
      </c>
      <c r="M11" s="17"/>
      <c r="N11" s="17">
        <v>0.77420888477011696</v>
      </c>
      <c r="O11" s="17">
        <v>0.66007155591363997</v>
      </c>
      <c r="P11" s="17">
        <v>0.69290750812367297</v>
      </c>
      <c r="Q11" s="17">
        <v>0.61291757121874002</v>
      </c>
      <c r="R11" s="17">
        <v>0.76113091756601903</v>
      </c>
      <c r="S11" s="17">
        <v>0.72484150874477304</v>
      </c>
      <c r="T11" s="17">
        <v>0.82019541441994304</v>
      </c>
      <c r="U11" s="17">
        <v>0.82118304448540602</v>
      </c>
      <c r="V11" s="17">
        <v>0.77123831461472303</v>
      </c>
      <c r="W11" s="17"/>
      <c r="X11" s="17">
        <v>0.75583908237713704</v>
      </c>
      <c r="Y11" s="17">
        <v>0.73075951354174296</v>
      </c>
    </row>
    <row r="12" spans="2:25" x14ac:dyDescent="0.35">
      <c r="B12" s="18" t="s">
        <v>115</v>
      </c>
      <c r="C12" s="17">
        <v>0.70943141312858404</v>
      </c>
      <c r="D12" s="17">
        <v>0.69267380821404101</v>
      </c>
      <c r="E12" s="17">
        <v>0.72574943558129901</v>
      </c>
      <c r="F12" s="17"/>
      <c r="G12" s="17">
        <v>0.73475041013553299</v>
      </c>
      <c r="H12" s="17">
        <v>0.73404717644286999</v>
      </c>
      <c r="I12" s="17">
        <v>0.76718032122162105</v>
      </c>
      <c r="J12" s="17">
        <v>0.73711344694146597</v>
      </c>
      <c r="K12" s="17">
        <v>0.70507071289031498</v>
      </c>
      <c r="L12" s="17">
        <v>0.63234748369286897</v>
      </c>
      <c r="M12" s="17"/>
      <c r="N12" s="17">
        <v>0.60669570590532995</v>
      </c>
      <c r="O12" s="17">
        <v>0.698464633016182</v>
      </c>
      <c r="P12" s="17">
        <v>0.636525446992252</v>
      </c>
      <c r="Q12" s="17">
        <v>0.79209498729793304</v>
      </c>
      <c r="R12" s="17">
        <v>0.72562493282929996</v>
      </c>
      <c r="S12" s="17">
        <v>0.70695143591508403</v>
      </c>
      <c r="T12" s="17">
        <v>0.77966202737137302</v>
      </c>
      <c r="U12" s="17">
        <v>0.66823504563285596</v>
      </c>
      <c r="V12" s="17">
        <v>0.63787559698386398</v>
      </c>
      <c r="W12" s="17"/>
      <c r="X12" s="17">
        <v>0.74926242339520799</v>
      </c>
      <c r="Y12" s="17">
        <v>0.68739026535423098</v>
      </c>
    </row>
    <row r="13" spans="2:25" x14ac:dyDescent="0.35">
      <c r="B13" s="18" t="s">
        <v>116</v>
      </c>
      <c r="C13" s="17">
        <v>0.70349694624840098</v>
      </c>
      <c r="D13" s="17">
        <v>0.67722570224746803</v>
      </c>
      <c r="E13" s="17">
        <v>0.72911464478280996</v>
      </c>
      <c r="F13" s="17"/>
      <c r="G13" s="17">
        <v>0.73218439076665198</v>
      </c>
      <c r="H13" s="17">
        <v>0.71617618186762</v>
      </c>
      <c r="I13" s="17">
        <v>0.70718592652910495</v>
      </c>
      <c r="J13" s="17">
        <v>0.73339006214924396</v>
      </c>
      <c r="K13" s="17">
        <v>0.71386803095841</v>
      </c>
      <c r="L13" s="17">
        <v>0.65569490445428702</v>
      </c>
      <c r="M13" s="17"/>
      <c r="N13" s="17">
        <v>0.80295148688353302</v>
      </c>
      <c r="O13" s="17">
        <v>0.73607323109429001</v>
      </c>
      <c r="P13" s="17">
        <v>0.79322323776784298</v>
      </c>
      <c r="Q13" s="17">
        <v>0.68549686717388902</v>
      </c>
      <c r="R13" s="17">
        <v>0.62694530519487501</v>
      </c>
      <c r="S13" s="17">
        <v>0.58864970194956201</v>
      </c>
      <c r="T13" s="17">
        <v>0.83097670954608405</v>
      </c>
      <c r="U13" s="17">
        <v>0.617942393643513</v>
      </c>
      <c r="V13" s="17">
        <v>0.82990559199844405</v>
      </c>
      <c r="W13" s="17"/>
      <c r="X13" s="17">
        <v>0.73533724943752299</v>
      </c>
      <c r="Y13" s="17">
        <v>0.68587758828901402</v>
      </c>
    </row>
    <row r="14" spans="2:25" x14ac:dyDescent="0.35">
      <c r="B14" s="18" t="s">
        <v>117</v>
      </c>
      <c r="C14" s="17">
        <v>0.50462178504551103</v>
      </c>
      <c r="D14" s="17">
        <v>0.53139111531752803</v>
      </c>
      <c r="E14" s="17">
        <v>0.48003039511680801</v>
      </c>
      <c r="F14" s="17"/>
      <c r="G14" s="17">
        <v>0.444739900079476</v>
      </c>
      <c r="H14" s="17">
        <v>0.53964973506408598</v>
      </c>
      <c r="I14" s="17">
        <v>0.53407203391596803</v>
      </c>
      <c r="J14" s="17">
        <v>0.51262092595757403</v>
      </c>
      <c r="K14" s="17">
        <v>0.524516123717646</v>
      </c>
      <c r="L14" s="17">
        <v>0.46871862559002597</v>
      </c>
      <c r="M14" s="17"/>
      <c r="N14" s="17">
        <v>0.34900471249853798</v>
      </c>
      <c r="O14" s="17">
        <v>0.49508598879985299</v>
      </c>
      <c r="P14" s="17">
        <v>0.23953262789186</v>
      </c>
      <c r="Q14" s="17">
        <v>0.53899677366799703</v>
      </c>
      <c r="R14" s="17">
        <v>0.63740362684755003</v>
      </c>
      <c r="S14" s="17">
        <v>0.34475957230592102</v>
      </c>
      <c r="T14" s="17">
        <v>0.68328015007151099</v>
      </c>
      <c r="U14" s="17">
        <v>0.61294625216516996</v>
      </c>
      <c r="V14" s="17">
        <v>0.51502973671341201</v>
      </c>
      <c r="W14" s="17"/>
      <c r="X14" s="17">
        <v>0.56835557684490901</v>
      </c>
      <c r="Y14" s="17">
        <v>0.46935363809500502</v>
      </c>
    </row>
    <row r="15" spans="2:25" x14ac:dyDescent="0.35">
      <c r="B15" s="18" t="s">
        <v>118</v>
      </c>
      <c r="C15" s="17">
        <v>0.454996287389208</v>
      </c>
      <c r="D15" s="17">
        <v>0.50977633433748903</v>
      </c>
      <c r="E15" s="17">
        <v>0.40215994990369602</v>
      </c>
      <c r="F15" s="17"/>
      <c r="G15" s="17">
        <v>0.671610388703207</v>
      </c>
      <c r="H15" s="17">
        <v>0.665862171734108</v>
      </c>
      <c r="I15" s="17">
        <v>0.56444516581724902</v>
      </c>
      <c r="J15" s="17">
        <v>0.488075322567671</v>
      </c>
      <c r="K15" s="17">
        <v>0.37968780998582202</v>
      </c>
      <c r="L15" s="17">
        <v>0.20631331500354</v>
      </c>
      <c r="M15" s="17"/>
      <c r="N15" s="17">
        <v>0.39542299988016799</v>
      </c>
      <c r="O15" s="17">
        <v>0.53140662095772095</v>
      </c>
      <c r="P15" s="17">
        <v>0.39008253964112699</v>
      </c>
      <c r="Q15" s="17">
        <v>0.458501889052776</v>
      </c>
      <c r="R15" s="17">
        <v>0.53086657313496699</v>
      </c>
      <c r="S15" s="17">
        <v>0.40570310775290902</v>
      </c>
      <c r="T15" s="17">
        <v>0.40050675838074101</v>
      </c>
      <c r="U15" s="17">
        <v>0.50081642889309397</v>
      </c>
      <c r="V15" s="17">
        <v>0.55558371005999097</v>
      </c>
      <c r="W15" s="17"/>
      <c r="X15" s="17">
        <v>0.530578498471175</v>
      </c>
      <c r="Y15" s="17">
        <v>0.41317162182289402</v>
      </c>
    </row>
    <row r="16" spans="2:25" x14ac:dyDescent="0.35">
      <c r="B16" s="18" t="s">
        <v>119</v>
      </c>
      <c r="C16" s="17">
        <v>0.45002000522784202</v>
      </c>
      <c r="D16" s="17">
        <v>0.47844500590363298</v>
      </c>
      <c r="E16" s="17">
        <v>0.422280885404758</v>
      </c>
      <c r="F16" s="17"/>
      <c r="G16" s="17">
        <v>0.76641293764752205</v>
      </c>
      <c r="H16" s="17">
        <v>0.66821967838509899</v>
      </c>
      <c r="I16" s="17">
        <v>0.54766751363519595</v>
      </c>
      <c r="J16" s="17">
        <v>0.48242450431177297</v>
      </c>
      <c r="K16" s="17">
        <v>0.34558866928065501</v>
      </c>
      <c r="L16" s="17">
        <v>0.18706336887097599</v>
      </c>
      <c r="M16" s="17"/>
      <c r="N16" s="17">
        <v>0.495380629844895</v>
      </c>
      <c r="O16" s="17">
        <v>0.53116036164714697</v>
      </c>
      <c r="P16" s="17">
        <v>0.39488429829010102</v>
      </c>
      <c r="Q16" s="17">
        <v>0.43445655297630098</v>
      </c>
      <c r="R16" s="17">
        <v>0.44237462332939198</v>
      </c>
      <c r="S16" s="17">
        <v>0.45297898765809103</v>
      </c>
      <c r="T16" s="17">
        <v>0.40255415848535397</v>
      </c>
      <c r="U16" s="17">
        <v>0.48902890954135703</v>
      </c>
      <c r="V16" s="17">
        <v>0.59400581184363999</v>
      </c>
      <c r="W16" s="17"/>
      <c r="X16" s="17">
        <v>0.52991948139935097</v>
      </c>
      <c r="Y16" s="17">
        <v>0.405806309677536</v>
      </c>
    </row>
    <row r="17" spans="2:25" x14ac:dyDescent="0.35">
      <c r="B17" s="18" t="s">
        <v>120</v>
      </c>
      <c r="C17" s="17">
        <v>0.44445817391092501</v>
      </c>
      <c r="D17" s="17">
        <v>0.46248205920095298</v>
      </c>
      <c r="E17" s="17">
        <v>0.42818249302671402</v>
      </c>
      <c r="F17" s="17"/>
      <c r="G17" s="17">
        <v>0.458116708716166</v>
      </c>
      <c r="H17" s="17">
        <v>0.48113088108694102</v>
      </c>
      <c r="I17" s="17">
        <v>0.44772362712145602</v>
      </c>
      <c r="J17" s="17">
        <v>0.46761145047887098</v>
      </c>
      <c r="K17" s="17">
        <v>0.44661643257668798</v>
      </c>
      <c r="L17" s="17">
        <v>0.39832849289917399</v>
      </c>
      <c r="M17" s="17"/>
      <c r="N17" s="17">
        <v>0.44154620958766</v>
      </c>
      <c r="O17" s="17">
        <v>0.33620786818474602</v>
      </c>
      <c r="P17" s="17">
        <v>0.38796991870060399</v>
      </c>
      <c r="Q17" s="17">
        <v>0.41707401770485802</v>
      </c>
      <c r="R17" s="17">
        <v>0.46709316885444202</v>
      </c>
      <c r="S17" s="17">
        <v>0.40108204084104698</v>
      </c>
      <c r="T17" s="17">
        <v>0.49873213830617302</v>
      </c>
      <c r="U17" s="17">
        <v>0.51924274119258296</v>
      </c>
      <c r="V17" s="17">
        <v>0.43765403850855</v>
      </c>
      <c r="W17" s="17"/>
      <c r="X17" s="17">
        <v>0.54828203505052797</v>
      </c>
      <c r="Y17" s="17">
        <v>0.38700552456651499</v>
      </c>
    </row>
    <row r="18" spans="2:25" x14ac:dyDescent="0.35">
      <c r="B18" s="18" t="s">
        <v>121</v>
      </c>
      <c r="C18" s="17">
        <v>0.35378063602719001</v>
      </c>
      <c r="D18" s="17">
        <v>0.41342608460240998</v>
      </c>
      <c r="E18" s="17">
        <v>0.29655011753482202</v>
      </c>
      <c r="F18" s="17"/>
      <c r="G18" s="17">
        <v>0.58987009691585901</v>
      </c>
      <c r="H18" s="17">
        <v>0.55557592636389097</v>
      </c>
      <c r="I18" s="17">
        <v>0.45696864162494399</v>
      </c>
      <c r="J18" s="17">
        <v>0.36875560836736898</v>
      </c>
      <c r="K18" s="17">
        <v>0.24141578806814701</v>
      </c>
      <c r="L18" s="17">
        <v>0.143998296891241</v>
      </c>
      <c r="M18" s="17"/>
      <c r="N18" s="17">
        <v>0.33768354007526102</v>
      </c>
      <c r="O18" s="17">
        <v>0.31928491125957198</v>
      </c>
      <c r="P18" s="17">
        <v>0.35600102648863002</v>
      </c>
      <c r="Q18" s="17">
        <v>0.35721716219793398</v>
      </c>
      <c r="R18" s="17">
        <v>0.39832480286968602</v>
      </c>
      <c r="S18" s="17">
        <v>0.23504426704127299</v>
      </c>
      <c r="T18" s="17">
        <v>0.41652609365163701</v>
      </c>
      <c r="U18" s="17">
        <v>0.384760535145517</v>
      </c>
      <c r="V18" s="17">
        <v>0.31672813826430901</v>
      </c>
      <c r="W18" s="17"/>
      <c r="X18" s="17">
        <v>0.38473562705146602</v>
      </c>
      <c r="Y18" s="17">
        <v>0.336651180184801</v>
      </c>
    </row>
    <row r="19" spans="2:25" x14ac:dyDescent="0.35">
      <c r="B19" s="18" t="s">
        <v>122</v>
      </c>
      <c r="C19" s="17">
        <v>0.322353435455346</v>
      </c>
      <c r="D19" s="17">
        <v>0.31900964259528602</v>
      </c>
      <c r="E19" s="17">
        <v>0.32571399428018999</v>
      </c>
      <c r="F19" s="17"/>
      <c r="G19" s="17">
        <v>0.43568846813178103</v>
      </c>
      <c r="H19" s="17">
        <v>0.41424469804424102</v>
      </c>
      <c r="I19" s="17">
        <v>0.36953050152545602</v>
      </c>
      <c r="J19" s="17">
        <v>0.32962812808685599</v>
      </c>
      <c r="K19" s="17">
        <v>0.28557337638644098</v>
      </c>
      <c r="L19" s="17">
        <v>0.214754262854816</v>
      </c>
      <c r="M19" s="17"/>
      <c r="N19" s="17">
        <v>0.31951415486810503</v>
      </c>
      <c r="O19" s="17">
        <v>0.30387385955139901</v>
      </c>
      <c r="P19" s="17">
        <v>0.320382802281024</v>
      </c>
      <c r="Q19" s="17">
        <v>0.34340098793324803</v>
      </c>
      <c r="R19" s="17">
        <v>0.31097540369051901</v>
      </c>
      <c r="S19" s="17">
        <v>0.31998994519704999</v>
      </c>
      <c r="T19" s="17">
        <v>0.33796264276417398</v>
      </c>
      <c r="U19" s="17">
        <v>0.31971453286895901</v>
      </c>
      <c r="V19" s="17">
        <v>0.28770957113249601</v>
      </c>
      <c r="W19" s="17"/>
      <c r="X19" s="17">
        <v>0.40344532095514102</v>
      </c>
      <c r="Y19" s="17">
        <v>0.27747990049759402</v>
      </c>
    </row>
    <row r="20" spans="2:25" x14ac:dyDescent="0.35">
      <c r="B20" s="18" t="s">
        <v>123</v>
      </c>
      <c r="C20" s="17">
        <v>0.25782686982508801</v>
      </c>
      <c r="D20" s="17">
        <v>0.30626610335730498</v>
      </c>
      <c r="E20" s="17">
        <v>0.21294869468921901</v>
      </c>
      <c r="F20" s="17"/>
      <c r="G20" s="17">
        <v>0.245066020324234</v>
      </c>
      <c r="H20" s="17">
        <v>0.31399257375719303</v>
      </c>
      <c r="I20" s="17">
        <v>0.29135017513306799</v>
      </c>
      <c r="J20" s="17">
        <v>0.28752341231230499</v>
      </c>
      <c r="K20" s="17">
        <v>0.26173465513412397</v>
      </c>
      <c r="L20" s="17">
        <v>0.18495762735853499</v>
      </c>
      <c r="M20" s="17"/>
      <c r="N20" s="17">
        <v>0.279335339823442</v>
      </c>
      <c r="O20" s="17">
        <v>0.19524167989186</v>
      </c>
      <c r="P20" s="17">
        <v>0.22810347934991901</v>
      </c>
      <c r="Q20" s="17">
        <v>0.18465043332738099</v>
      </c>
      <c r="R20" s="17">
        <v>0.28613307415081302</v>
      </c>
      <c r="S20" s="17">
        <v>0.196313154886567</v>
      </c>
      <c r="T20" s="17">
        <v>0.30097483286389898</v>
      </c>
      <c r="U20" s="17">
        <v>0.35509737510606199</v>
      </c>
      <c r="V20" s="17">
        <v>0.26550012521015298</v>
      </c>
      <c r="W20" s="17"/>
      <c r="X20" s="17">
        <v>0.38244113289614101</v>
      </c>
      <c r="Y20" s="17">
        <v>0.188869507991794</v>
      </c>
    </row>
    <row r="21" spans="2:25" ht="29" x14ac:dyDescent="0.35">
      <c r="B21" s="18" t="s">
        <v>124</v>
      </c>
      <c r="C21" s="17">
        <v>8.2088729312507894E-2</v>
      </c>
      <c r="D21" s="17">
        <v>0.125095089413232</v>
      </c>
      <c r="E21" s="17">
        <v>4.1930987080116798E-2</v>
      </c>
      <c r="F21" s="17"/>
      <c r="G21" s="17">
        <v>0.136881756507956</v>
      </c>
      <c r="H21" s="17">
        <v>0.164398154932511</v>
      </c>
      <c r="I21" s="17">
        <v>0.124204883263176</v>
      </c>
      <c r="J21" s="17">
        <v>7.8146316328187596E-2</v>
      </c>
      <c r="K21" s="17">
        <v>3.5929907037276297E-2</v>
      </c>
      <c r="L21" s="17">
        <v>1.9032894011807501E-2</v>
      </c>
      <c r="M21" s="17"/>
      <c r="N21" s="17">
        <v>9.8280686510832702E-2</v>
      </c>
      <c r="O21" s="17">
        <v>5.7107564350861402E-2</v>
      </c>
      <c r="P21" s="17">
        <v>5.1348857293126098E-2</v>
      </c>
      <c r="Q21" s="17">
        <v>5.6655855420942501E-2</v>
      </c>
      <c r="R21" s="17">
        <v>7.4630733637694305E-2</v>
      </c>
      <c r="S21" s="17">
        <v>0.11630082147298799</v>
      </c>
      <c r="T21" s="17">
        <v>0.110003857311938</v>
      </c>
      <c r="U21" s="17">
        <v>7.8741350790927894E-2</v>
      </c>
      <c r="V21" s="17">
        <v>9.7449682146923206E-2</v>
      </c>
      <c r="W21" s="17"/>
      <c r="X21" s="17">
        <v>0.123240828924576</v>
      </c>
      <c r="Y21" s="17">
        <v>5.9316534916662098E-2</v>
      </c>
    </row>
    <row r="22" spans="2:25" ht="29" x14ac:dyDescent="0.35">
      <c r="B22" s="18" t="s">
        <v>125</v>
      </c>
      <c r="C22" s="17">
        <v>4.15338280602736E-2</v>
      </c>
      <c r="D22" s="17">
        <v>6.0721495425065601E-2</v>
      </c>
      <c r="E22" s="17">
        <v>2.3636740506597798E-2</v>
      </c>
      <c r="F22" s="17"/>
      <c r="G22" s="17">
        <v>5.5458874329670102E-2</v>
      </c>
      <c r="H22" s="17">
        <v>8.00745916120955E-2</v>
      </c>
      <c r="I22" s="17">
        <v>6.1019122418687302E-2</v>
      </c>
      <c r="J22" s="17">
        <v>4.4230092131190099E-2</v>
      </c>
      <c r="K22" s="17">
        <v>2.6389245704809799E-2</v>
      </c>
      <c r="L22" s="17">
        <v>9.1631878127030105E-3</v>
      </c>
      <c r="M22" s="17"/>
      <c r="N22" s="17">
        <v>3.32262791437032E-2</v>
      </c>
      <c r="O22" s="17">
        <v>2.8414130627195298E-2</v>
      </c>
      <c r="P22" s="17">
        <v>2.83809288670086E-2</v>
      </c>
      <c r="Q22" s="17">
        <v>3.5376745354874499E-2</v>
      </c>
      <c r="R22" s="17">
        <v>4.9706186320270802E-2</v>
      </c>
      <c r="S22" s="17">
        <v>4.0894671540532099E-2</v>
      </c>
      <c r="T22" s="17">
        <v>5.1651297245049001E-2</v>
      </c>
      <c r="U22" s="17">
        <v>4.1490326593251997E-2</v>
      </c>
      <c r="V22" s="17">
        <v>5.6328329545563702E-2</v>
      </c>
      <c r="W22" s="17"/>
      <c r="X22" s="17">
        <v>7.1177933220527498E-2</v>
      </c>
      <c r="Y22" s="17">
        <v>2.5129772574311701E-2</v>
      </c>
    </row>
    <row r="23" spans="2:25" x14ac:dyDescent="0.35">
      <c r="B23" s="18" t="s">
        <v>48</v>
      </c>
      <c r="C23" s="19">
        <v>1.3191893825307501E-2</v>
      </c>
      <c r="D23" s="19">
        <v>1.09386587877297E-2</v>
      </c>
      <c r="E23" s="19">
        <v>1.53658768150265E-2</v>
      </c>
      <c r="F23" s="19"/>
      <c r="G23" s="19">
        <v>3.9820415992660998E-3</v>
      </c>
      <c r="H23" s="19">
        <v>2.14733601842564E-3</v>
      </c>
      <c r="I23" s="19">
        <v>9.6262781325794303E-3</v>
      </c>
      <c r="J23" s="19">
        <v>1.52796170463253E-2</v>
      </c>
      <c r="K23" s="19">
        <v>1.52499703476205E-2</v>
      </c>
      <c r="L23" s="19">
        <v>2.2663387196048101E-2</v>
      </c>
      <c r="M23" s="19"/>
      <c r="N23" s="19">
        <v>4.6881919675807399E-3</v>
      </c>
      <c r="O23" s="19">
        <v>0</v>
      </c>
      <c r="P23" s="19">
        <v>2.4024326914496501E-2</v>
      </c>
      <c r="Q23" s="19">
        <v>2.4075350096668401E-2</v>
      </c>
      <c r="R23" s="19">
        <v>8.2983742107433194E-3</v>
      </c>
      <c r="S23" s="19">
        <v>1.5847165130438299E-2</v>
      </c>
      <c r="T23" s="19">
        <v>4.7628310403837696E-3</v>
      </c>
      <c r="U23" s="19">
        <v>7.9675715878051202E-3</v>
      </c>
      <c r="V23" s="19">
        <v>9.8635356514788497E-3</v>
      </c>
      <c r="W23" s="19"/>
      <c r="X23" s="19">
        <v>6.9471568977272002E-3</v>
      </c>
      <c r="Y23" s="19">
        <v>1.6647522204085798E-2</v>
      </c>
    </row>
    <row r="24" spans="2:25" x14ac:dyDescent="0.35">
      <c r="B24" s="16"/>
    </row>
    <row r="25" spans="2:25" x14ac:dyDescent="0.35">
      <c r="B25" t="s">
        <v>51</v>
      </c>
    </row>
    <row r="26" spans="2:25" x14ac:dyDescent="0.35">
      <c r="B26" t="s">
        <v>52</v>
      </c>
    </row>
    <row r="28" spans="2:25" x14ac:dyDescent="0.35">
      <c r="B28" s="8" t="str">
        <f>HYPERLINK("#'Contents'!A1", "Return to Contents")</f>
        <v>Return to Contents</v>
      </c>
    </row>
  </sheetData>
  <mergeCells count="5">
    <mergeCell ref="D5:E5"/>
    <mergeCell ref="G5:L5"/>
    <mergeCell ref="N5:V5"/>
    <mergeCell ref="X5:Y5"/>
    <mergeCell ref="D2:W2"/>
  </mergeCells>
  <pageMargins left="0.7" right="0.7" top="0.75" bottom="0.75" header="0.3" footer="0.3"/>
  <pageSetup paperSize="9" orientation="portrait" horizontalDpi="300" verticalDpi="300"/>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B2:F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6" width="20.7265625" customWidth="1"/>
  </cols>
  <sheetData>
    <row r="2" spans="2:6" ht="40" customHeight="1" x14ac:dyDescent="0.35">
      <c r="D2" s="30" t="s">
        <v>137</v>
      </c>
      <c r="E2" s="26"/>
      <c r="F2" s="26"/>
    </row>
    <row r="6" spans="2:6" ht="50" customHeight="1" x14ac:dyDescent="0.35">
      <c r="B6" s="20" t="s">
        <v>15</v>
      </c>
      <c r="C6" s="20" t="s">
        <v>127</v>
      </c>
      <c r="D6" s="20" t="s">
        <v>128</v>
      </c>
      <c r="E6" s="20" t="s">
        <v>129</v>
      </c>
    </row>
    <row r="7" spans="2:6" x14ac:dyDescent="0.35">
      <c r="B7" s="18" t="s">
        <v>130</v>
      </c>
      <c r="C7" s="17">
        <v>0.28021400607568703</v>
      </c>
      <c r="D7" s="17">
        <v>0.31217056517517899</v>
      </c>
      <c r="E7" s="17">
        <v>0.111003042822131</v>
      </c>
    </row>
    <row r="8" spans="2:6" x14ac:dyDescent="0.35">
      <c r="B8" s="18" t="s">
        <v>131</v>
      </c>
      <c r="C8" s="17">
        <v>0.46024914075912399</v>
      </c>
      <c r="D8" s="17">
        <v>0.47352380766121199</v>
      </c>
      <c r="E8" s="17">
        <v>0.42895733107995498</v>
      </c>
    </row>
    <row r="9" spans="2:6" ht="29" x14ac:dyDescent="0.35">
      <c r="B9" s="18" t="s">
        <v>132</v>
      </c>
      <c r="C9" s="17">
        <v>0.140937258257682</v>
      </c>
      <c r="D9" s="17">
        <v>0.111602920591549</v>
      </c>
      <c r="E9" s="17">
        <v>0.24059321777684001</v>
      </c>
    </row>
    <row r="10" spans="2:6" x14ac:dyDescent="0.35">
      <c r="B10" s="18" t="s">
        <v>133</v>
      </c>
      <c r="C10" s="17">
        <v>6.2671932290242094E-2</v>
      </c>
      <c r="D10" s="17">
        <v>7.4561773746753796E-2</v>
      </c>
      <c r="E10" s="17">
        <v>0.110889868038153</v>
      </c>
    </row>
    <row r="11" spans="2:6" x14ac:dyDescent="0.35">
      <c r="B11" s="18" t="s">
        <v>134</v>
      </c>
      <c r="C11" s="17">
        <v>2.0365904404981101E-2</v>
      </c>
      <c r="D11" s="17">
        <v>2.36038839844562E-2</v>
      </c>
      <c r="E11" s="17">
        <v>2.56791639038337E-2</v>
      </c>
    </row>
    <row r="12" spans="2:6" x14ac:dyDescent="0.35">
      <c r="B12" s="18" t="s">
        <v>69</v>
      </c>
      <c r="C12" s="17">
        <v>3.5561758212283197E-2</v>
      </c>
      <c r="D12" s="17">
        <v>4.5370488408493304E-3</v>
      </c>
      <c r="E12" s="17">
        <v>8.2877376379087805E-2</v>
      </c>
    </row>
    <row r="13" spans="2:6" x14ac:dyDescent="0.35">
      <c r="B13" s="23" t="s">
        <v>135</v>
      </c>
      <c r="C13" s="21">
        <v>0.74046314683481196</v>
      </c>
      <c r="D13" s="21">
        <v>0.78569437283639099</v>
      </c>
      <c r="E13" s="21">
        <v>0.53996037390208595</v>
      </c>
    </row>
    <row r="14" spans="2:6" x14ac:dyDescent="0.35">
      <c r="B14" s="23" t="s">
        <v>136</v>
      </c>
      <c r="C14" s="21">
        <v>8.3037836695223202E-2</v>
      </c>
      <c r="D14" s="21">
        <v>9.8165657731210096E-2</v>
      </c>
      <c r="E14" s="21">
        <v>0.136569031941986</v>
      </c>
    </row>
    <row r="15" spans="2:6" x14ac:dyDescent="0.35">
      <c r="B15" s="23" t="s">
        <v>92</v>
      </c>
      <c r="C15" s="22">
        <v>0.65742531013958805</v>
      </c>
      <c r="D15" s="22">
        <v>0.68752871510518099</v>
      </c>
      <c r="E15" s="22">
        <v>0.40339134196010001</v>
      </c>
    </row>
    <row r="16" spans="2:6" x14ac:dyDescent="0.35">
      <c r="B16" s="16" t="s">
        <v>98</v>
      </c>
      <c r="C16" s="16"/>
      <c r="D16" s="16"/>
      <c r="E16" s="16"/>
    </row>
    <row r="17" spans="2:2" x14ac:dyDescent="0.35">
      <c r="B17" t="s">
        <v>51</v>
      </c>
    </row>
    <row r="18" spans="2:2" x14ac:dyDescent="0.35">
      <c r="B18" t="s">
        <v>52</v>
      </c>
    </row>
    <row r="22" spans="2:2" x14ac:dyDescent="0.35">
      <c r="B22" s="8" t="str">
        <f>HYPERLINK("#'Contents'!A1", "Return to Contents")</f>
        <v>Return to Contents</v>
      </c>
    </row>
  </sheetData>
  <mergeCells count="1">
    <mergeCell ref="D2:F2"/>
  </mergeCells>
  <pageMargins left="0.7" right="0.7" top="0.75" bottom="0.75" header="0.3" footer="0.3"/>
  <pageSetup paperSize="9" orientation="portrait" horizontalDpi="300" verticalDpi="300"/>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B2:Y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s>
  <sheetData>
    <row r="2" spans="2:25" ht="40" customHeight="1" x14ac:dyDescent="0.35">
      <c r="D2" s="30" t="s">
        <v>138</v>
      </c>
      <c r="E2" s="26"/>
      <c r="F2" s="26"/>
      <c r="G2" s="26"/>
      <c r="H2" s="26"/>
      <c r="I2" s="26"/>
      <c r="J2" s="26"/>
      <c r="K2" s="26"/>
      <c r="L2" s="26"/>
      <c r="M2" s="26"/>
      <c r="N2" s="26"/>
      <c r="O2" s="26"/>
      <c r="P2" s="26"/>
      <c r="Q2" s="26"/>
      <c r="R2" s="26"/>
      <c r="S2" s="26"/>
      <c r="T2" s="26"/>
      <c r="U2" s="26"/>
      <c r="V2" s="26"/>
      <c r="W2" s="26"/>
    </row>
    <row r="5" spans="2:25" ht="30" customHeight="1" x14ac:dyDescent="0.35">
      <c r="B5" s="15"/>
      <c r="C5" s="15"/>
      <c r="D5" s="29" t="s">
        <v>38</v>
      </c>
      <c r="E5" s="29"/>
      <c r="F5" s="15"/>
      <c r="G5" s="29" t="s">
        <v>39</v>
      </c>
      <c r="H5" s="29"/>
      <c r="I5" s="29"/>
      <c r="J5" s="29"/>
      <c r="K5" s="29"/>
      <c r="L5" s="29"/>
      <c r="M5" s="15"/>
      <c r="N5" s="29" t="s">
        <v>40</v>
      </c>
      <c r="O5" s="29"/>
      <c r="P5" s="29"/>
      <c r="Q5" s="29"/>
      <c r="R5" s="29"/>
      <c r="S5" s="29"/>
      <c r="T5" s="29"/>
      <c r="U5" s="29"/>
      <c r="V5" s="29"/>
      <c r="W5" s="15"/>
      <c r="X5" s="29" t="s">
        <v>41</v>
      </c>
      <c r="Y5" s="29"/>
    </row>
    <row r="6" spans="2:25" ht="29"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row>
    <row r="7" spans="2:25" ht="30" customHeight="1" x14ac:dyDescent="0.35">
      <c r="B7" s="10" t="s">
        <v>19</v>
      </c>
      <c r="C7" s="10">
        <v>6837</v>
      </c>
      <c r="D7" s="10">
        <v>3283</v>
      </c>
      <c r="E7" s="10">
        <v>3540</v>
      </c>
      <c r="F7" s="10"/>
      <c r="G7" s="10">
        <v>635</v>
      </c>
      <c r="H7" s="10">
        <v>1075</v>
      </c>
      <c r="I7" s="10">
        <v>1093</v>
      </c>
      <c r="J7" s="10">
        <v>1228</v>
      </c>
      <c r="K7" s="10">
        <v>1155</v>
      </c>
      <c r="L7" s="10">
        <v>1651</v>
      </c>
      <c r="M7" s="10"/>
      <c r="N7" s="10">
        <v>208</v>
      </c>
      <c r="O7" s="10">
        <v>199</v>
      </c>
      <c r="P7" s="10">
        <v>1002</v>
      </c>
      <c r="Q7" s="10">
        <v>1000</v>
      </c>
      <c r="R7" s="10">
        <v>1004</v>
      </c>
      <c r="S7" s="10">
        <v>1006</v>
      </c>
      <c r="T7" s="10">
        <v>1006</v>
      </c>
      <c r="U7" s="10">
        <v>1007</v>
      </c>
      <c r="V7" s="10">
        <v>405</v>
      </c>
      <c r="W7" s="10"/>
      <c r="X7" s="10">
        <v>2650</v>
      </c>
      <c r="Y7" s="10">
        <v>4187</v>
      </c>
    </row>
    <row r="8" spans="2:25" ht="30" customHeight="1" x14ac:dyDescent="0.35">
      <c r="B8" s="11" t="s">
        <v>20</v>
      </c>
      <c r="C8" s="11">
        <v>6837</v>
      </c>
      <c r="D8" s="11">
        <v>3309</v>
      </c>
      <c r="E8" s="11">
        <v>3514</v>
      </c>
      <c r="F8" s="11"/>
      <c r="G8" s="11">
        <v>645</v>
      </c>
      <c r="H8" s="11">
        <v>1026</v>
      </c>
      <c r="I8" s="11">
        <v>1111</v>
      </c>
      <c r="J8" s="11">
        <v>1184</v>
      </c>
      <c r="K8" s="11">
        <v>1140</v>
      </c>
      <c r="L8" s="11">
        <v>1732</v>
      </c>
      <c r="M8" s="11"/>
      <c r="N8" s="11">
        <v>208</v>
      </c>
      <c r="O8" s="11">
        <v>199</v>
      </c>
      <c r="P8" s="11">
        <v>1002</v>
      </c>
      <c r="Q8" s="11">
        <v>1000</v>
      </c>
      <c r="R8" s="11">
        <v>1004</v>
      </c>
      <c r="S8" s="11">
        <v>1006</v>
      </c>
      <c r="T8" s="11">
        <v>1006</v>
      </c>
      <c r="U8" s="11">
        <v>1007</v>
      </c>
      <c r="V8" s="11">
        <v>405</v>
      </c>
      <c r="W8" s="11"/>
      <c r="X8" s="11">
        <v>2436</v>
      </c>
      <c r="Y8" s="11">
        <v>4401</v>
      </c>
    </row>
    <row r="9" spans="2:25" x14ac:dyDescent="0.35">
      <c r="B9" s="18" t="s">
        <v>130</v>
      </c>
      <c r="C9" s="17">
        <v>0.31217056517517899</v>
      </c>
      <c r="D9" s="17">
        <v>0.33411687067192303</v>
      </c>
      <c r="E9" s="17">
        <v>0.29190524655066402</v>
      </c>
      <c r="F9" s="17"/>
      <c r="G9" s="17">
        <v>0.31961376877835002</v>
      </c>
      <c r="H9" s="17">
        <v>0.32712590020620902</v>
      </c>
      <c r="I9" s="17">
        <v>0.33581192253981801</v>
      </c>
      <c r="J9" s="17">
        <v>0.33909599663539702</v>
      </c>
      <c r="K9" s="17">
        <v>0.284727318857809</v>
      </c>
      <c r="L9" s="17">
        <v>0.28503572350467798</v>
      </c>
      <c r="M9" s="17"/>
      <c r="N9" s="17">
        <v>0.39034012117</v>
      </c>
      <c r="O9" s="17">
        <v>0.28264998917335499</v>
      </c>
      <c r="P9" s="17">
        <v>0.28718714865533301</v>
      </c>
      <c r="Q9" s="17">
        <v>0.25516001132765598</v>
      </c>
      <c r="R9" s="17">
        <v>0.19209848452493999</v>
      </c>
      <c r="S9" s="17">
        <v>0.46067005035708702</v>
      </c>
      <c r="T9" s="17">
        <v>0.276957972608738</v>
      </c>
      <c r="U9" s="17">
        <v>0.35425417862617198</v>
      </c>
      <c r="V9" s="17">
        <v>0.40075315430526498</v>
      </c>
      <c r="W9" s="17"/>
      <c r="X9" s="17">
        <v>0.34702298752275301</v>
      </c>
      <c r="Y9" s="17">
        <v>0.292881374369658</v>
      </c>
    </row>
    <row r="10" spans="2:25" x14ac:dyDescent="0.35">
      <c r="B10" s="18" t="s">
        <v>131</v>
      </c>
      <c r="C10" s="17">
        <v>0.47352380766121199</v>
      </c>
      <c r="D10" s="17">
        <v>0.46226636732305398</v>
      </c>
      <c r="E10" s="17">
        <v>0.48434386935357898</v>
      </c>
      <c r="F10" s="17"/>
      <c r="G10" s="17">
        <v>0.460117215889845</v>
      </c>
      <c r="H10" s="17">
        <v>0.46566493019629801</v>
      </c>
      <c r="I10" s="17">
        <v>0.43675705177944901</v>
      </c>
      <c r="J10" s="17">
        <v>0.45241655062723901</v>
      </c>
      <c r="K10" s="17">
        <v>0.498103376008596</v>
      </c>
      <c r="L10" s="17">
        <v>0.50500417366357497</v>
      </c>
      <c r="M10" s="17"/>
      <c r="N10" s="17">
        <v>0.44207017496925599</v>
      </c>
      <c r="O10" s="17">
        <v>0.56402101628702495</v>
      </c>
      <c r="P10" s="17">
        <v>0.45124736043033598</v>
      </c>
      <c r="Q10" s="17">
        <v>0.473258820207414</v>
      </c>
      <c r="R10" s="17">
        <v>0.51224050355262396</v>
      </c>
      <c r="S10" s="17">
        <v>0.39877011239021798</v>
      </c>
      <c r="T10" s="17">
        <v>0.49599305452157499</v>
      </c>
      <c r="U10" s="17">
        <v>0.51426601164972796</v>
      </c>
      <c r="V10" s="17">
        <v>0.433500619279445</v>
      </c>
      <c r="W10" s="17"/>
      <c r="X10" s="17">
        <v>0.46752511216727</v>
      </c>
      <c r="Y10" s="17">
        <v>0.47684380593315201</v>
      </c>
    </row>
    <row r="11" spans="2:25" ht="29" x14ac:dyDescent="0.35">
      <c r="B11" s="18" t="s">
        <v>132</v>
      </c>
      <c r="C11" s="17">
        <v>0.111602920591549</v>
      </c>
      <c r="D11" s="17">
        <v>0.106736677872875</v>
      </c>
      <c r="E11" s="17">
        <v>0.115469116781384</v>
      </c>
      <c r="F11" s="17"/>
      <c r="G11" s="17">
        <v>9.89142236817286E-2</v>
      </c>
      <c r="H11" s="17">
        <v>0.10596649377231999</v>
      </c>
      <c r="I11" s="17">
        <v>0.130712574488833</v>
      </c>
      <c r="J11" s="17">
        <v>0.10266809087285</v>
      </c>
      <c r="K11" s="17">
        <v>0.12312293883684999</v>
      </c>
      <c r="L11" s="17">
        <v>0.10593121938022899</v>
      </c>
      <c r="M11" s="17"/>
      <c r="N11" s="17">
        <v>7.9655722758251099E-2</v>
      </c>
      <c r="O11" s="17">
        <v>6.4863648128849399E-2</v>
      </c>
      <c r="P11" s="17">
        <v>0.13720003524372401</v>
      </c>
      <c r="Q11" s="17">
        <v>0.13417426435982999</v>
      </c>
      <c r="R11" s="17">
        <v>0.14990442385463601</v>
      </c>
      <c r="S11" s="17">
        <v>8.2310667293745504E-2</v>
      </c>
      <c r="T11" s="17">
        <v>0.13382651575441201</v>
      </c>
      <c r="U11" s="17">
        <v>5.5385929257483202E-2</v>
      </c>
      <c r="V11" s="17">
        <v>9.4338237181483098E-2</v>
      </c>
      <c r="W11" s="17"/>
      <c r="X11" s="17">
        <v>0.10193742270058601</v>
      </c>
      <c r="Y11" s="17">
        <v>0.11695232302877</v>
      </c>
    </row>
    <row r="12" spans="2:25" x14ac:dyDescent="0.35">
      <c r="B12" s="18" t="s">
        <v>133</v>
      </c>
      <c r="C12" s="17">
        <v>7.4561773746753796E-2</v>
      </c>
      <c r="D12" s="17">
        <v>7.0536538499381796E-2</v>
      </c>
      <c r="E12" s="17">
        <v>7.8335814949208105E-2</v>
      </c>
      <c r="F12" s="17"/>
      <c r="G12" s="17">
        <v>8.7013155836576206E-2</v>
      </c>
      <c r="H12" s="17">
        <v>7.7050818175896499E-2</v>
      </c>
      <c r="I12" s="17">
        <v>6.5225356357910505E-2</v>
      </c>
      <c r="J12" s="17">
        <v>7.41305022158079E-2</v>
      </c>
      <c r="K12" s="17">
        <v>6.6300582717863599E-2</v>
      </c>
      <c r="L12" s="17">
        <v>8.0172516885636494E-2</v>
      </c>
      <c r="M12" s="17"/>
      <c r="N12" s="17">
        <v>6.2711705464559106E-2</v>
      </c>
      <c r="O12" s="17">
        <v>4.5698560878228899E-2</v>
      </c>
      <c r="P12" s="17">
        <v>8.1283587464549806E-2</v>
      </c>
      <c r="Q12" s="17">
        <v>0.107552853872739</v>
      </c>
      <c r="R12" s="17">
        <v>0.108701059243825</v>
      </c>
      <c r="S12" s="17">
        <v>4.3722624987083902E-2</v>
      </c>
      <c r="T12" s="17">
        <v>7.7235392613316994E-2</v>
      </c>
      <c r="U12" s="17">
        <v>5.2059993209918401E-2</v>
      </c>
      <c r="V12" s="17">
        <v>3.8041167386271099E-2</v>
      </c>
      <c r="W12" s="17"/>
      <c r="X12" s="17">
        <v>6.2803002401751101E-2</v>
      </c>
      <c r="Y12" s="17">
        <v>8.1069705443732196E-2</v>
      </c>
    </row>
    <row r="13" spans="2:25" x14ac:dyDescent="0.35">
      <c r="B13" s="18" t="s">
        <v>134</v>
      </c>
      <c r="C13" s="17">
        <v>2.36038839844562E-2</v>
      </c>
      <c r="D13" s="17">
        <v>2.4238531511225299E-2</v>
      </c>
      <c r="E13" s="17">
        <v>2.3100776386771899E-2</v>
      </c>
      <c r="F13" s="17"/>
      <c r="G13" s="17">
        <v>2.91345246544986E-2</v>
      </c>
      <c r="H13" s="17">
        <v>2.10091628735475E-2</v>
      </c>
      <c r="I13" s="17">
        <v>2.7161111294760901E-2</v>
      </c>
      <c r="J13" s="17">
        <v>2.5737645055499501E-2</v>
      </c>
      <c r="K13" s="17">
        <v>2.2288460966779298E-2</v>
      </c>
      <c r="L13" s="17">
        <v>2.02071260625818E-2</v>
      </c>
      <c r="M13" s="17"/>
      <c r="N13" s="17">
        <v>2.5222275637933399E-2</v>
      </c>
      <c r="O13" s="17">
        <v>3.8596224869976298E-2</v>
      </c>
      <c r="P13" s="17">
        <v>4.0952401120762198E-2</v>
      </c>
      <c r="Q13" s="17">
        <v>2.3074009369107799E-2</v>
      </c>
      <c r="R13" s="17">
        <v>2.9452786480746E-2</v>
      </c>
      <c r="S13" s="17">
        <v>1.08470813696795E-2</v>
      </c>
      <c r="T13" s="17">
        <v>1.4359718822163799E-2</v>
      </c>
      <c r="U13" s="17">
        <v>1.93887102137917E-2</v>
      </c>
      <c r="V13" s="17">
        <v>2.4411979721707E-2</v>
      </c>
      <c r="W13" s="17"/>
      <c r="X13" s="17">
        <v>1.7990165868098599E-2</v>
      </c>
      <c r="Y13" s="17">
        <v>2.6710815227138501E-2</v>
      </c>
    </row>
    <row r="14" spans="2:25" x14ac:dyDescent="0.35">
      <c r="B14" s="18" t="s">
        <v>69</v>
      </c>
      <c r="C14" s="17">
        <v>4.5370488408493304E-3</v>
      </c>
      <c r="D14" s="17">
        <v>2.1050141215412099E-3</v>
      </c>
      <c r="E14" s="17">
        <v>6.8451759783924801E-3</v>
      </c>
      <c r="F14" s="17"/>
      <c r="G14" s="17">
        <v>5.2071111590018702E-3</v>
      </c>
      <c r="H14" s="17">
        <v>3.18269477572949E-3</v>
      </c>
      <c r="I14" s="17">
        <v>4.3319835392285899E-3</v>
      </c>
      <c r="J14" s="17">
        <v>5.9512145932056303E-3</v>
      </c>
      <c r="K14" s="17">
        <v>5.4573226121016399E-3</v>
      </c>
      <c r="L14" s="17">
        <v>3.6492405033005E-3</v>
      </c>
      <c r="M14" s="17"/>
      <c r="N14" s="17">
        <v>0</v>
      </c>
      <c r="O14" s="17">
        <v>4.17056066256518E-3</v>
      </c>
      <c r="P14" s="17">
        <v>2.1294670852953601E-3</v>
      </c>
      <c r="Q14" s="17">
        <v>6.7800408632533596E-3</v>
      </c>
      <c r="R14" s="17">
        <v>7.6027423432296097E-3</v>
      </c>
      <c r="S14" s="17">
        <v>3.6794636021854499E-3</v>
      </c>
      <c r="T14" s="17">
        <v>1.6273456797942099E-3</v>
      </c>
      <c r="U14" s="17">
        <v>4.6451770429074297E-3</v>
      </c>
      <c r="V14" s="17">
        <v>8.9548421258289906E-3</v>
      </c>
      <c r="W14" s="17"/>
      <c r="X14" s="17">
        <v>2.7213093395414001E-3</v>
      </c>
      <c r="Y14" s="17">
        <v>5.5419759975492101E-3</v>
      </c>
    </row>
    <row r="15" spans="2:25" x14ac:dyDescent="0.35">
      <c r="B15" s="18" t="s">
        <v>135</v>
      </c>
      <c r="C15" s="21">
        <v>0.78569437283639099</v>
      </c>
      <c r="D15" s="21">
        <v>0.79638323799497701</v>
      </c>
      <c r="E15" s="21">
        <v>0.77624911590424295</v>
      </c>
      <c r="F15" s="21"/>
      <c r="G15" s="21">
        <v>0.77973098466819502</v>
      </c>
      <c r="H15" s="21">
        <v>0.79279083040250697</v>
      </c>
      <c r="I15" s="21">
        <v>0.77256897431926697</v>
      </c>
      <c r="J15" s="21">
        <v>0.79151254726263698</v>
      </c>
      <c r="K15" s="21">
        <v>0.782830694866405</v>
      </c>
      <c r="L15" s="21">
        <v>0.79003989716825196</v>
      </c>
      <c r="M15" s="21"/>
      <c r="N15" s="21">
        <v>0.83241029613925599</v>
      </c>
      <c r="O15" s="21">
        <v>0.84667100546037999</v>
      </c>
      <c r="P15" s="21">
        <v>0.73843450908566899</v>
      </c>
      <c r="Q15" s="21">
        <v>0.72841883153507003</v>
      </c>
      <c r="R15" s="21">
        <v>0.70433898807756401</v>
      </c>
      <c r="S15" s="21">
        <v>0.85944016274730595</v>
      </c>
      <c r="T15" s="21">
        <v>0.77295102713031305</v>
      </c>
      <c r="U15" s="21">
        <v>0.868520190275899</v>
      </c>
      <c r="V15" s="21">
        <v>0.83425377358470998</v>
      </c>
      <c r="W15" s="21"/>
      <c r="X15" s="21">
        <v>0.81454809969002295</v>
      </c>
      <c r="Y15" s="21">
        <v>0.76972518030281001</v>
      </c>
    </row>
    <row r="16" spans="2:25" x14ac:dyDescent="0.35">
      <c r="B16" s="18" t="s">
        <v>136</v>
      </c>
      <c r="C16" s="21">
        <v>9.8165657731210096E-2</v>
      </c>
      <c r="D16" s="21">
        <v>9.4775070010607004E-2</v>
      </c>
      <c r="E16" s="21">
        <v>0.10143659133598</v>
      </c>
      <c r="F16" s="21"/>
      <c r="G16" s="21">
        <v>0.116147680491075</v>
      </c>
      <c r="H16" s="21">
        <v>9.8059981049443995E-2</v>
      </c>
      <c r="I16" s="21">
        <v>9.2386467652671403E-2</v>
      </c>
      <c r="J16" s="21">
        <v>9.9868147271307398E-2</v>
      </c>
      <c r="K16" s="21">
        <v>8.8589043684642793E-2</v>
      </c>
      <c r="L16" s="21">
        <v>0.100379642948218</v>
      </c>
      <c r="M16" s="21"/>
      <c r="N16" s="21">
        <v>8.7933981102492606E-2</v>
      </c>
      <c r="O16" s="21">
        <v>8.4294785748205203E-2</v>
      </c>
      <c r="P16" s="21">
        <v>0.122235988585312</v>
      </c>
      <c r="Q16" s="21">
        <v>0.130626863241847</v>
      </c>
      <c r="R16" s="21">
        <v>0.13815384572457101</v>
      </c>
      <c r="S16" s="21">
        <v>5.4569706356763302E-2</v>
      </c>
      <c r="T16" s="21">
        <v>9.1595111435480797E-2</v>
      </c>
      <c r="U16" s="21">
        <v>7.1448703423710194E-2</v>
      </c>
      <c r="V16" s="21">
        <v>6.2453147107978099E-2</v>
      </c>
      <c r="W16" s="21"/>
      <c r="X16" s="21">
        <v>8.0793168269849697E-2</v>
      </c>
      <c r="Y16" s="21">
        <v>0.107780520670871</v>
      </c>
    </row>
    <row r="17" spans="2:25" x14ac:dyDescent="0.35">
      <c r="B17" s="18" t="s">
        <v>92</v>
      </c>
      <c r="C17" s="22">
        <v>0.68752871510518099</v>
      </c>
      <c r="D17" s="22">
        <v>0.70160816798436998</v>
      </c>
      <c r="E17" s="22">
        <v>0.67481252456826302</v>
      </c>
      <c r="F17" s="22"/>
      <c r="G17" s="22">
        <v>0.66358330417711997</v>
      </c>
      <c r="H17" s="22">
        <v>0.69473084935306295</v>
      </c>
      <c r="I17" s="22">
        <v>0.68018250666659597</v>
      </c>
      <c r="J17" s="22">
        <v>0.69164439999132898</v>
      </c>
      <c r="K17" s="22">
        <v>0.69424165118176195</v>
      </c>
      <c r="L17" s="22">
        <v>0.68966025422003396</v>
      </c>
      <c r="M17" s="22"/>
      <c r="N17" s="22">
        <v>0.74447631503676404</v>
      </c>
      <c r="O17" s="22">
        <v>0.76237621971217495</v>
      </c>
      <c r="P17" s="22">
        <v>0.61619852050035695</v>
      </c>
      <c r="Q17" s="22">
        <v>0.59779196829322401</v>
      </c>
      <c r="R17" s="22">
        <v>0.566185142352993</v>
      </c>
      <c r="S17" s="22">
        <v>0.804870456390542</v>
      </c>
      <c r="T17" s="22">
        <v>0.681355915694833</v>
      </c>
      <c r="U17" s="22">
        <v>0.79707148685218898</v>
      </c>
      <c r="V17" s="22">
        <v>0.77180062647673198</v>
      </c>
      <c r="W17" s="22"/>
      <c r="X17" s="22">
        <v>0.73375493142017401</v>
      </c>
      <c r="Y17" s="22">
        <v>0.66194465963193905</v>
      </c>
    </row>
    <row r="18" spans="2:25" x14ac:dyDescent="0.35">
      <c r="B18" s="16" t="s">
        <v>98</v>
      </c>
    </row>
    <row r="19" spans="2:25" x14ac:dyDescent="0.35">
      <c r="B19" t="s">
        <v>51</v>
      </c>
    </row>
    <row r="20" spans="2:25" x14ac:dyDescent="0.35">
      <c r="B20" t="s">
        <v>52</v>
      </c>
    </row>
    <row r="22" spans="2:25" x14ac:dyDescent="0.35">
      <c r="B22" s="8" t="str">
        <f>HYPERLINK("#'Contents'!A1", "Return to Contents")</f>
        <v>Return to Contents</v>
      </c>
    </row>
  </sheetData>
  <mergeCells count="5">
    <mergeCell ref="D5:E5"/>
    <mergeCell ref="G5:L5"/>
    <mergeCell ref="N5:V5"/>
    <mergeCell ref="X5:Y5"/>
    <mergeCell ref="D2:W2"/>
  </mergeCells>
  <pageMargins left="0.7" right="0.7" top="0.75" bottom="0.75" header="0.3" footer="0.3"/>
  <pageSetup paperSize="9" orientation="portrait" horizontalDpi="300" verticalDpi="300"/>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B2:Y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s>
  <sheetData>
    <row r="2" spans="2:25" ht="40" customHeight="1" x14ac:dyDescent="0.35">
      <c r="D2" s="30" t="s">
        <v>139</v>
      </c>
      <c r="E2" s="26"/>
      <c r="F2" s="26"/>
      <c r="G2" s="26"/>
      <c r="H2" s="26"/>
      <c r="I2" s="26"/>
      <c r="J2" s="26"/>
      <c r="K2" s="26"/>
      <c r="L2" s="26"/>
      <c r="M2" s="26"/>
      <c r="N2" s="26"/>
      <c r="O2" s="26"/>
      <c r="P2" s="26"/>
      <c r="Q2" s="26"/>
      <c r="R2" s="26"/>
      <c r="S2" s="26"/>
      <c r="T2" s="26"/>
      <c r="U2" s="26"/>
      <c r="V2" s="26"/>
      <c r="W2" s="26"/>
    </row>
    <row r="5" spans="2:25" ht="30" customHeight="1" x14ac:dyDescent="0.35">
      <c r="B5" s="15"/>
      <c r="C5" s="15"/>
      <c r="D5" s="29" t="s">
        <v>38</v>
      </c>
      <c r="E5" s="29"/>
      <c r="F5" s="15"/>
      <c r="G5" s="29" t="s">
        <v>39</v>
      </c>
      <c r="H5" s="29"/>
      <c r="I5" s="29"/>
      <c r="J5" s="29"/>
      <c r="K5" s="29"/>
      <c r="L5" s="29"/>
      <c r="M5" s="15"/>
      <c r="N5" s="29" t="s">
        <v>40</v>
      </c>
      <c r="O5" s="29"/>
      <c r="P5" s="29"/>
      <c r="Q5" s="29"/>
      <c r="R5" s="29"/>
      <c r="S5" s="29"/>
      <c r="T5" s="29"/>
      <c r="U5" s="29"/>
      <c r="V5" s="29"/>
      <c r="W5" s="15"/>
      <c r="X5" s="29" t="s">
        <v>41</v>
      </c>
      <c r="Y5" s="29"/>
    </row>
    <row r="6" spans="2:25" ht="29"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row>
    <row r="7" spans="2:25" ht="30" customHeight="1" x14ac:dyDescent="0.35">
      <c r="B7" s="10" t="s">
        <v>19</v>
      </c>
      <c r="C7" s="10">
        <v>6838</v>
      </c>
      <c r="D7" s="10">
        <v>3283</v>
      </c>
      <c r="E7" s="10">
        <v>3541</v>
      </c>
      <c r="F7" s="10"/>
      <c r="G7" s="10">
        <v>635</v>
      </c>
      <c r="H7" s="10">
        <v>1075</v>
      </c>
      <c r="I7" s="10">
        <v>1093</v>
      </c>
      <c r="J7" s="10">
        <v>1228</v>
      </c>
      <c r="K7" s="10">
        <v>1156</v>
      </c>
      <c r="L7" s="10">
        <v>1651</v>
      </c>
      <c r="M7" s="10"/>
      <c r="N7" s="10">
        <v>208</v>
      </c>
      <c r="O7" s="10">
        <v>200</v>
      </c>
      <c r="P7" s="10">
        <v>1002</v>
      </c>
      <c r="Q7" s="10">
        <v>1000</v>
      </c>
      <c r="R7" s="10">
        <v>1004</v>
      </c>
      <c r="S7" s="10">
        <v>1006</v>
      </c>
      <c r="T7" s="10">
        <v>1006</v>
      </c>
      <c r="U7" s="10">
        <v>1007</v>
      </c>
      <c r="V7" s="10">
        <v>405</v>
      </c>
      <c r="W7" s="10"/>
      <c r="X7" s="10">
        <v>2650</v>
      </c>
      <c r="Y7" s="10">
        <v>4188</v>
      </c>
    </row>
    <row r="8" spans="2:25" ht="30" customHeight="1" x14ac:dyDescent="0.35">
      <c r="B8" s="11" t="s">
        <v>20</v>
      </c>
      <c r="C8" s="11">
        <v>6838</v>
      </c>
      <c r="D8" s="11">
        <v>3309</v>
      </c>
      <c r="E8" s="11">
        <v>3515</v>
      </c>
      <c r="F8" s="11"/>
      <c r="G8" s="11">
        <v>645</v>
      </c>
      <c r="H8" s="11">
        <v>1026</v>
      </c>
      <c r="I8" s="11">
        <v>1111</v>
      </c>
      <c r="J8" s="11">
        <v>1184</v>
      </c>
      <c r="K8" s="11">
        <v>1140</v>
      </c>
      <c r="L8" s="11">
        <v>1732</v>
      </c>
      <c r="M8" s="11"/>
      <c r="N8" s="11">
        <v>208</v>
      </c>
      <c r="O8" s="11">
        <v>200</v>
      </c>
      <c r="P8" s="11">
        <v>1002</v>
      </c>
      <c r="Q8" s="11">
        <v>1000</v>
      </c>
      <c r="R8" s="11">
        <v>1004</v>
      </c>
      <c r="S8" s="11">
        <v>1006</v>
      </c>
      <c r="T8" s="11">
        <v>1006</v>
      </c>
      <c r="U8" s="11">
        <v>1007</v>
      </c>
      <c r="V8" s="11">
        <v>405</v>
      </c>
      <c r="W8" s="11"/>
      <c r="X8" s="11">
        <v>2436</v>
      </c>
      <c r="Y8" s="11">
        <v>4402</v>
      </c>
    </row>
    <row r="9" spans="2:25" x14ac:dyDescent="0.35">
      <c r="B9" s="18" t="s">
        <v>130</v>
      </c>
      <c r="C9" s="17">
        <v>0.111003042822131</v>
      </c>
      <c r="D9" s="17">
        <v>0.114028085403365</v>
      </c>
      <c r="E9" s="17">
        <v>0.108343110357384</v>
      </c>
      <c r="F9" s="17"/>
      <c r="G9" s="17">
        <v>0.131953657245236</v>
      </c>
      <c r="H9" s="17">
        <v>0.14685464611995699</v>
      </c>
      <c r="I9" s="17">
        <v>0.129580837555371</v>
      </c>
      <c r="J9" s="17">
        <v>0.116832650079592</v>
      </c>
      <c r="K9" s="17">
        <v>8.7634765055552205E-2</v>
      </c>
      <c r="L9" s="17">
        <v>8.1463750107214697E-2</v>
      </c>
      <c r="M9" s="17"/>
      <c r="N9" s="17">
        <v>0.173299700512734</v>
      </c>
      <c r="O9" s="17">
        <v>0.119223678124434</v>
      </c>
      <c r="P9" s="17">
        <v>8.4549178142163894E-2</v>
      </c>
      <c r="Q9" s="17">
        <v>7.9949333459106195E-2</v>
      </c>
      <c r="R9" s="17">
        <v>6.6065980707109007E-2</v>
      </c>
      <c r="S9" s="17">
        <v>0.220028016731175</v>
      </c>
      <c r="T9" s="17">
        <v>8.0815484447661498E-2</v>
      </c>
      <c r="U9" s="17">
        <v>0.12177819050863101</v>
      </c>
      <c r="V9" s="17">
        <v>0.105853528075565</v>
      </c>
      <c r="W9" s="17"/>
      <c r="X9" s="17">
        <v>0.12664644420309201</v>
      </c>
      <c r="Y9" s="17">
        <v>0.10234650814668</v>
      </c>
    </row>
    <row r="10" spans="2:25" x14ac:dyDescent="0.35">
      <c r="B10" s="18" t="s">
        <v>131</v>
      </c>
      <c r="C10" s="17">
        <v>0.42895733107995498</v>
      </c>
      <c r="D10" s="17">
        <v>0.421141355504079</v>
      </c>
      <c r="E10" s="17">
        <v>0.43597655305886002</v>
      </c>
      <c r="F10" s="17"/>
      <c r="G10" s="17">
        <v>0.47808553182796998</v>
      </c>
      <c r="H10" s="17">
        <v>0.458653589142688</v>
      </c>
      <c r="I10" s="17">
        <v>0.451232854760518</v>
      </c>
      <c r="J10" s="17">
        <v>0.44777714820820702</v>
      </c>
      <c r="K10" s="17">
        <v>0.42342749883963199</v>
      </c>
      <c r="L10" s="17">
        <v>0.369585337725715</v>
      </c>
      <c r="M10" s="17"/>
      <c r="N10" s="17">
        <v>0.51137881298569898</v>
      </c>
      <c r="O10" s="17">
        <v>0.488681694053547</v>
      </c>
      <c r="P10" s="17">
        <v>0.43080866877867502</v>
      </c>
      <c r="Q10" s="17">
        <v>0.38704060485253</v>
      </c>
      <c r="R10" s="17">
        <v>0.45070309211586801</v>
      </c>
      <c r="S10" s="17">
        <v>0.43587322930599998</v>
      </c>
      <c r="T10" s="17">
        <v>0.38873236686318702</v>
      </c>
      <c r="U10" s="17">
        <v>0.48331514413517801</v>
      </c>
      <c r="V10" s="17">
        <v>0.34972524115945203</v>
      </c>
      <c r="W10" s="17"/>
      <c r="X10" s="17">
        <v>0.44040798163713901</v>
      </c>
      <c r="Y10" s="17">
        <v>0.42262092436182502</v>
      </c>
    </row>
    <row r="11" spans="2:25" ht="29" x14ac:dyDescent="0.35">
      <c r="B11" s="18" t="s">
        <v>132</v>
      </c>
      <c r="C11" s="17">
        <v>0.24059321777684001</v>
      </c>
      <c r="D11" s="17">
        <v>0.25115854375513003</v>
      </c>
      <c r="E11" s="17">
        <v>0.23127144926455501</v>
      </c>
      <c r="F11" s="17"/>
      <c r="G11" s="17">
        <v>0.22079426824079501</v>
      </c>
      <c r="H11" s="17">
        <v>0.22238280993086801</v>
      </c>
      <c r="I11" s="17">
        <v>0.24053233572642399</v>
      </c>
      <c r="J11" s="17">
        <v>0.24859924786778601</v>
      </c>
      <c r="K11" s="17">
        <v>0.26550121762863299</v>
      </c>
      <c r="L11" s="17">
        <v>0.2369148319106</v>
      </c>
      <c r="M11" s="17"/>
      <c r="N11" s="17">
        <v>0.21112683905153901</v>
      </c>
      <c r="O11" s="17">
        <v>0.201395598562709</v>
      </c>
      <c r="P11" s="17">
        <v>0.22466553485177401</v>
      </c>
      <c r="Q11" s="17">
        <v>0.26308626903641502</v>
      </c>
      <c r="R11" s="17">
        <v>0.28050720889067898</v>
      </c>
      <c r="S11" s="17">
        <v>0.17313392665338401</v>
      </c>
      <c r="T11" s="17">
        <v>0.30372775655699802</v>
      </c>
      <c r="U11" s="17">
        <v>0.18471994879687101</v>
      </c>
      <c r="V11" s="17">
        <v>0.30967088022355799</v>
      </c>
      <c r="W11" s="17"/>
      <c r="X11" s="17">
        <v>0.22717061409318601</v>
      </c>
      <c r="Y11" s="17">
        <v>0.24802083734580399</v>
      </c>
    </row>
    <row r="12" spans="2:25" x14ac:dyDescent="0.35">
      <c r="B12" s="18" t="s">
        <v>133</v>
      </c>
      <c r="C12" s="17">
        <v>0.110889868038153</v>
      </c>
      <c r="D12" s="17">
        <v>0.11825063752555801</v>
      </c>
      <c r="E12" s="17">
        <v>0.10364283831198499</v>
      </c>
      <c r="F12" s="17"/>
      <c r="G12" s="17">
        <v>0.120001893448497</v>
      </c>
      <c r="H12" s="17">
        <v>0.127589708480668</v>
      </c>
      <c r="I12" s="17">
        <v>0.11410302887432699</v>
      </c>
      <c r="J12" s="17">
        <v>0.102889523877999</v>
      </c>
      <c r="K12" s="17">
        <v>0.100329599744581</v>
      </c>
      <c r="L12" s="17">
        <v>0.107969712357213</v>
      </c>
      <c r="M12" s="17"/>
      <c r="N12" s="17">
        <v>6.4014231725023393E-2</v>
      </c>
      <c r="O12" s="17">
        <v>0.108526398858835</v>
      </c>
      <c r="P12" s="17">
        <v>0.11935331843663601</v>
      </c>
      <c r="Q12" s="17">
        <v>0.15036619978844001</v>
      </c>
      <c r="R12" s="17">
        <v>0.11369180516319501</v>
      </c>
      <c r="S12" s="17">
        <v>4.6331063136793402E-2</v>
      </c>
      <c r="T12" s="17">
        <v>0.11262440743881599</v>
      </c>
      <c r="U12" s="17">
        <v>0.13441397039202799</v>
      </c>
      <c r="V12" s="17">
        <v>0.108335330480705</v>
      </c>
      <c r="W12" s="17"/>
      <c r="X12" s="17">
        <v>0.120152933871183</v>
      </c>
      <c r="Y12" s="17">
        <v>0.10576399747894</v>
      </c>
    </row>
    <row r="13" spans="2:25" x14ac:dyDescent="0.35">
      <c r="B13" s="18" t="s">
        <v>134</v>
      </c>
      <c r="C13" s="17">
        <v>2.56791639038337E-2</v>
      </c>
      <c r="D13" s="17">
        <v>2.8767232952590201E-2</v>
      </c>
      <c r="E13" s="17">
        <v>2.2874806749289101E-2</v>
      </c>
      <c r="F13" s="17"/>
      <c r="G13" s="17">
        <v>3.0051212352336001E-2</v>
      </c>
      <c r="H13" s="17">
        <v>1.7085772610489099E-2</v>
      </c>
      <c r="I13" s="17">
        <v>2.5996344382839799E-2</v>
      </c>
      <c r="J13" s="17">
        <v>2.78579836587899E-2</v>
      </c>
      <c r="K13" s="17">
        <v>2.3333241653370598E-2</v>
      </c>
      <c r="L13" s="17">
        <v>2.8991060178785999E-2</v>
      </c>
      <c r="M13" s="17"/>
      <c r="N13" s="17">
        <v>1.01125060909506E-2</v>
      </c>
      <c r="O13" s="17">
        <v>6.0226829969328996E-3</v>
      </c>
      <c r="P13" s="17">
        <v>2.5344214183943201E-2</v>
      </c>
      <c r="Q13" s="17">
        <v>3.9390624853003903E-2</v>
      </c>
      <c r="R13" s="17">
        <v>3.2800183922537501E-2</v>
      </c>
      <c r="S13" s="17">
        <v>1.43714140724317E-2</v>
      </c>
      <c r="T13" s="17">
        <v>1.8796391169938899E-2</v>
      </c>
      <c r="U13" s="17">
        <v>3.2268497637108803E-2</v>
      </c>
      <c r="V13" s="17">
        <v>2.1501440963393199E-2</v>
      </c>
      <c r="W13" s="17"/>
      <c r="X13" s="17">
        <v>2.5327255951507099E-2</v>
      </c>
      <c r="Y13" s="17">
        <v>2.58738979848494E-2</v>
      </c>
    </row>
    <row r="14" spans="2:25" x14ac:dyDescent="0.35">
      <c r="B14" s="18" t="s">
        <v>69</v>
      </c>
      <c r="C14" s="17">
        <v>8.2877376379087805E-2</v>
      </c>
      <c r="D14" s="17">
        <v>6.6654144859277203E-2</v>
      </c>
      <c r="E14" s="17">
        <v>9.7891242257926406E-2</v>
      </c>
      <c r="F14" s="17"/>
      <c r="G14" s="17">
        <v>1.9113436885165699E-2</v>
      </c>
      <c r="H14" s="17">
        <v>2.74334737153289E-2</v>
      </c>
      <c r="I14" s="17">
        <v>3.8554598700519603E-2</v>
      </c>
      <c r="J14" s="17">
        <v>5.6043446307625498E-2</v>
      </c>
      <c r="K14" s="17">
        <v>9.9773677078231607E-2</v>
      </c>
      <c r="L14" s="17">
        <v>0.175075307720471</v>
      </c>
      <c r="M14" s="17"/>
      <c r="N14" s="17">
        <v>3.0067909634053001E-2</v>
      </c>
      <c r="O14" s="17">
        <v>7.6149947403542598E-2</v>
      </c>
      <c r="P14" s="17">
        <v>0.115279085606809</v>
      </c>
      <c r="Q14" s="17">
        <v>8.0166968010505504E-2</v>
      </c>
      <c r="R14" s="17">
        <v>5.6231729200611501E-2</v>
      </c>
      <c r="S14" s="17">
        <v>0.110262350100216</v>
      </c>
      <c r="T14" s="17">
        <v>9.5303593523399094E-2</v>
      </c>
      <c r="U14" s="17">
        <v>4.3504248530183601E-2</v>
      </c>
      <c r="V14" s="17">
        <v>0.104913579097327</v>
      </c>
      <c r="W14" s="17"/>
      <c r="X14" s="17">
        <v>6.0294770243893597E-2</v>
      </c>
      <c r="Y14" s="17">
        <v>9.5373834681901901E-2</v>
      </c>
    </row>
    <row r="15" spans="2:25" x14ac:dyDescent="0.35">
      <c r="B15" s="18" t="s">
        <v>135</v>
      </c>
      <c r="C15" s="21">
        <v>0.53996037390208595</v>
      </c>
      <c r="D15" s="21">
        <v>0.535169440907445</v>
      </c>
      <c r="E15" s="21">
        <v>0.54431966341624405</v>
      </c>
      <c r="F15" s="21"/>
      <c r="G15" s="21">
        <v>0.61003918907320698</v>
      </c>
      <c r="H15" s="21">
        <v>0.60550823526264597</v>
      </c>
      <c r="I15" s="21">
        <v>0.58081369231588897</v>
      </c>
      <c r="J15" s="21">
        <v>0.564609798287799</v>
      </c>
      <c r="K15" s="21">
        <v>0.51106226389518405</v>
      </c>
      <c r="L15" s="21">
        <v>0.45104908783293002</v>
      </c>
      <c r="M15" s="21"/>
      <c r="N15" s="21">
        <v>0.68467851349843301</v>
      </c>
      <c r="O15" s="21">
        <v>0.60790537217798102</v>
      </c>
      <c r="P15" s="21">
        <v>0.51535784692083897</v>
      </c>
      <c r="Q15" s="21">
        <v>0.46698993831163599</v>
      </c>
      <c r="R15" s="21">
        <v>0.51676907282297702</v>
      </c>
      <c r="S15" s="21">
        <v>0.65590124603717503</v>
      </c>
      <c r="T15" s="21">
        <v>0.46954785131084897</v>
      </c>
      <c r="U15" s="21">
        <v>0.60509333464380899</v>
      </c>
      <c r="V15" s="21">
        <v>0.455578769235017</v>
      </c>
      <c r="W15" s="21"/>
      <c r="X15" s="21">
        <v>0.56705442584023003</v>
      </c>
      <c r="Y15" s="21">
        <v>0.52496743250850497</v>
      </c>
    </row>
    <row r="16" spans="2:25" x14ac:dyDescent="0.35">
      <c r="B16" s="18" t="s">
        <v>136</v>
      </c>
      <c r="C16" s="21">
        <v>0.136569031941986</v>
      </c>
      <c r="D16" s="21">
        <v>0.14701787047814799</v>
      </c>
      <c r="E16" s="21">
        <v>0.126517645061274</v>
      </c>
      <c r="F16" s="21"/>
      <c r="G16" s="21">
        <v>0.150053105800833</v>
      </c>
      <c r="H16" s="21">
        <v>0.14467548109115699</v>
      </c>
      <c r="I16" s="21">
        <v>0.14009937325716701</v>
      </c>
      <c r="J16" s="21">
        <v>0.13074750753678899</v>
      </c>
      <c r="K16" s="21">
        <v>0.123662841397952</v>
      </c>
      <c r="L16" s="21">
        <v>0.136960772535999</v>
      </c>
      <c r="M16" s="21"/>
      <c r="N16" s="21">
        <v>7.4126737815973898E-2</v>
      </c>
      <c r="O16" s="21">
        <v>0.114549081855768</v>
      </c>
      <c r="P16" s="21">
        <v>0.14469753262057899</v>
      </c>
      <c r="Q16" s="21">
        <v>0.189756824641444</v>
      </c>
      <c r="R16" s="21">
        <v>0.14649198908573199</v>
      </c>
      <c r="S16" s="21">
        <v>6.07024772092251E-2</v>
      </c>
      <c r="T16" s="21">
        <v>0.131420798608754</v>
      </c>
      <c r="U16" s="21">
        <v>0.166682468029136</v>
      </c>
      <c r="V16" s="21">
        <v>0.129836771444098</v>
      </c>
      <c r="W16" s="21"/>
      <c r="X16" s="21">
        <v>0.14548018982269001</v>
      </c>
      <c r="Y16" s="21">
        <v>0.13163789546379001</v>
      </c>
    </row>
    <row r="17" spans="2:25" x14ac:dyDescent="0.35">
      <c r="B17" s="18" t="s">
        <v>92</v>
      </c>
      <c r="C17" s="22">
        <v>0.40339134196010001</v>
      </c>
      <c r="D17" s="22">
        <v>0.38815157042929699</v>
      </c>
      <c r="E17" s="22">
        <v>0.41780201835497</v>
      </c>
      <c r="F17" s="22"/>
      <c r="G17" s="22">
        <v>0.459986083272374</v>
      </c>
      <c r="H17" s="22">
        <v>0.460832754171488</v>
      </c>
      <c r="I17" s="22">
        <v>0.44071431905872199</v>
      </c>
      <c r="J17" s="22">
        <v>0.43386229075101101</v>
      </c>
      <c r="K17" s="22">
        <v>0.38739942249723203</v>
      </c>
      <c r="L17" s="22">
        <v>0.31408831529693099</v>
      </c>
      <c r="M17" s="22"/>
      <c r="N17" s="22">
        <v>0.61055177568246</v>
      </c>
      <c r="O17" s="22">
        <v>0.49335629032221301</v>
      </c>
      <c r="P17" s="22">
        <v>0.37066031430025997</v>
      </c>
      <c r="Q17" s="22">
        <v>0.27723311367019099</v>
      </c>
      <c r="R17" s="22">
        <v>0.37027708373724499</v>
      </c>
      <c r="S17" s="22">
        <v>0.59519876882794998</v>
      </c>
      <c r="T17" s="22">
        <v>0.33812705270209398</v>
      </c>
      <c r="U17" s="22">
        <v>0.43841086661467299</v>
      </c>
      <c r="V17" s="22">
        <v>0.325741997790919</v>
      </c>
      <c r="W17" s="22"/>
      <c r="X17" s="22">
        <v>0.42157423601754002</v>
      </c>
      <c r="Y17" s="22">
        <v>0.39332953704471502</v>
      </c>
    </row>
    <row r="18" spans="2:25" x14ac:dyDescent="0.35">
      <c r="B18" s="16"/>
    </row>
    <row r="19" spans="2:25" x14ac:dyDescent="0.35">
      <c r="B19" t="s">
        <v>51</v>
      </c>
    </row>
    <row r="20" spans="2:25" x14ac:dyDescent="0.35">
      <c r="B20" t="s">
        <v>52</v>
      </c>
    </row>
    <row r="22" spans="2:25" x14ac:dyDescent="0.35">
      <c r="B22" s="8" t="str">
        <f>HYPERLINK("#'Contents'!A1", "Return to Contents")</f>
        <v>Return to Contents</v>
      </c>
    </row>
  </sheetData>
  <mergeCells count="5">
    <mergeCell ref="D5:E5"/>
    <mergeCell ref="G5:L5"/>
    <mergeCell ref="N5:V5"/>
    <mergeCell ref="X5:Y5"/>
    <mergeCell ref="D2:W2"/>
  </mergeCells>
  <pageMargins left="0.7" right="0.7" top="0.75" bottom="0.75" header="0.3" footer="0.3"/>
  <pageSetup paperSize="9" orientation="portrait" horizontalDpi="300" verticalDpi="300"/>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B2:Y22"/>
  <sheetViews>
    <sheetView showGridLines="0" topLeftCell="A7" workbookViewId="0">
      <pane xSplit="2" topLeftCell="C1" activePane="topRight" state="frozen"/>
      <selection pane="topRight" activeCell="B18" sqref="B18"/>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s>
  <sheetData>
    <row r="2" spans="2:25" ht="40" customHeight="1" x14ac:dyDescent="0.35">
      <c r="D2" s="30" t="s">
        <v>140</v>
      </c>
      <c r="E2" s="26"/>
      <c r="F2" s="26"/>
      <c r="G2" s="26"/>
      <c r="H2" s="26"/>
      <c r="I2" s="26"/>
      <c r="J2" s="26"/>
      <c r="K2" s="26"/>
      <c r="L2" s="26"/>
      <c r="M2" s="26"/>
      <c r="N2" s="26"/>
      <c r="O2" s="26"/>
      <c r="P2" s="26"/>
      <c r="Q2" s="26"/>
      <c r="R2" s="26"/>
      <c r="S2" s="26"/>
      <c r="T2" s="26"/>
      <c r="U2" s="26"/>
      <c r="V2" s="26"/>
      <c r="W2" s="26"/>
    </row>
    <row r="5" spans="2:25" ht="30" customHeight="1" x14ac:dyDescent="0.35">
      <c r="B5" s="15"/>
      <c r="C5" s="15"/>
      <c r="D5" s="29" t="s">
        <v>38</v>
      </c>
      <c r="E5" s="29"/>
      <c r="F5" s="15"/>
      <c r="G5" s="29" t="s">
        <v>39</v>
      </c>
      <c r="H5" s="29"/>
      <c r="I5" s="29"/>
      <c r="J5" s="29"/>
      <c r="K5" s="29"/>
      <c r="L5" s="29"/>
      <c r="M5" s="15"/>
      <c r="N5" s="29" t="s">
        <v>40</v>
      </c>
      <c r="O5" s="29"/>
      <c r="P5" s="29"/>
      <c r="Q5" s="29"/>
      <c r="R5" s="29"/>
      <c r="S5" s="29"/>
      <c r="T5" s="29"/>
      <c r="U5" s="29"/>
      <c r="V5" s="29"/>
      <c r="W5" s="15"/>
      <c r="X5" s="29" t="s">
        <v>41</v>
      </c>
      <c r="Y5" s="29"/>
    </row>
    <row r="6" spans="2:25" ht="29"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row>
    <row r="7" spans="2:25" ht="30" customHeight="1" x14ac:dyDescent="0.35">
      <c r="B7" s="10" t="s">
        <v>19</v>
      </c>
      <c r="C7" s="10">
        <v>3716</v>
      </c>
      <c r="D7" s="10">
        <v>1971</v>
      </c>
      <c r="E7" s="10">
        <v>1736</v>
      </c>
      <c r="F7" s="10"/>
      <c r="G7" s="10">
        <v>251</v>
      </c>
      <c r="H7" s="10">
        <v>847</v>
      </c>
      <c r="I7" s="10">
        <v>873</v>
      </c>
      <c r="J7" s="10">
        <v>919</v>
      </c>
      <c r="K7" s="10">
        <v>652</v>
      </c>
      <c r="L7" s="10">
        <v>174</v>
      </c>
      <c r="M7" s="10"/>
      <c r="N7" s="10">
        <v>101</v>
      </c>
      <c r="O7" s="10">
        <v>101</v>
      </c>
      <c r="P7" s="10">
        <v>508</v>
      </c>
      <c r="Q7" s="10">
        <v>536</v>
      </c>
      <c r="R7" s="10">
        <v>488</v>
      </c>
      <c r="S7" s="10">
        <v>546</v>
      </c>
      <c r="T7" s="10">
        <v>648</v>
      </c>
      <c r="U7" s="10">
        <v>573</v>
      </c>
      <c r="V7" s="10">
        <v>215</v>
      </c>
      <c r="W7" s="10"/>
      <c r="X7" s="10">
        <v>1783</v>
      </c>
      <c r="Y7" s="10">
        <v>1933</v>
      </c>
    </row>
    <row r="8" spans="2:25" ht="30" customHeight="1" x14ac:dyDescent="0.35">
      <c r="B8" s="11" t="s">
        <v>20</v>
      </c>
      <c r="C8" s="11">
        <v>3642</v>
      </c>
      <c r="D8" s="11">
        <v>1990</v>
      </c>
      <c r="E8" s="11">
        <v>1643</v>
      </c>
      <c r="F8" s="11"/>
      <c r="G8" s="11">
        <v>263</v>
      </c>
      <c r="H8" s="11">
        <v>804</v>
      </c>
      <c r="I8" s="11">
        <v>885</v>
      </c>
      <c r="J8" s="11">
        <v>875</v>
      </c>
      <c r="K8" s="11">
        <v>630</v>
      </c>
      <c r="L8" s="11">
        <v>185</v>
      </c>
      <c r="M8" s="11"/>
      <c r="N8" s="11">
        <v>106</v>
      </c>
      <c r="O8" s="11">
        <v>95</v>
      </c>
      <c r="P8" s="11">
        <v>509</v>
      </c>
      <c r="Q8" s="11">
        <v>549</v>
      </c>
      <c r="R8" s="11">
        <v>458</v>
      </c>
      <c r="S8" s="11">
        <v>556</v>
      </c>
      <c r="T8" s="11">
        <v>615</v>
      </c>
      <c r="U8" s="11">
        <v>531</v>
      </c>
      <c r="V8" s="11">
        <v>224</v>
      </c>
      <c r="W8" s="11"/>
      <c r="X8" s="11">
        <v>1638</v>
      </c>
      <c r="Y8" s="11">
        <v>2004</v>
      </c>
    </row>
    <row r="9" spans="2:25" x14ac:dyDescent="0.35">
      <c r="B9" s="18" t="s">
        <v>130</v>
      </c>
      <c r="C9" s="17">
        <v>0.28021400607568703</v>
      </c>
      <c r="D9" s="17">
        <v>0.29280879496011503</v>
      </c>
      <c r="E9" s="17">
        <v>0.266453370786982</v>
      </c>
      <c r="F9" s="17"/>
      <c r="G9" s="17">
        <v>0.28770515133844499</v>
      </c>
      <c r="H9" s="17">
        <v>0.27377569315788097</v>
      </c>
      <c r="I9" s="17">
        <v>0.28471895597811903</v>
      </c>
      <c r="J9" s="17">
        <v>0.27762685142124899</v>
      </c>
      <c r="K9" s="17">
        <v>0.29186327184646699</v>
      </c>
      <c r="L9" s="17">
        <v>0.24849734472562501</v>
      </c>
      <c r="M9" s="17"/>
      <c r="N9" s="17">
        <v>0.35605302541101203</v>
      </c>
      <c r="O9" s="17">
        <v>0.25658275726096302</v>
      </c>
      <c r="P9" s="17">
        <v>0.25907026593479099</v>
      </c>
      <c r="Q9" s="17">
        <v>0.25480607722031001</v>
      </c>
      <c r="R9" s="17">
        <v>0.20918852449417499</v>
      </c>
      <c r="S9" s="17">
        <v>0.35551637537702802</v>
      </c>
      <c r="T9" s="17">
        <v>0.19144845005166999</v>
      </c>
      <c r="U9" s="17">
        <v>0.35064595708075802</v>
      </c>
      <c r="V9" s="17">
        <v>0.39989435438336302</v>
      </c>
      <c r="W9" s="17"/>
      <c r="X9" s="17">
        <v>0.33221484071618601</v>
      </c>
      <c r="Y9" s="17">
        <v>0.23769770651198099</v>
      </c>
    </row>
    <row r="10" spans="2:25" x14ac:dyDescent="0.35">
      <c r="B10" s="18" t="s">
        <v>131</v>
      </c>
      <c r="C10" s="17">
        <v>0.46024914075912399</v>
      </c>
      <c r="D10" s="17">
        <v>0.44872236418642097</v>
      </c>
      <c r="E10" s="17">
        <v>0.474901371661622</v>
      </c>
      <c r="F10" s="17"/>
      <c r="G10" s="17">
        <v>0.443582442791915</v>
      </c>
      <c r="H10" s="17">
        <v>0.47039534102087099</v>
      </c>
      <c r="I10" s="17">
        <v>0.45563517529499298</v>
      </c>
      <c r="J10" s="17">
        <v>0.47374942503802697</v>
      </c>
      <c r="K10" s="17">
        <v>0.44470435216574</v>
      </c>
      <c r="L10" s="17">
        <v>0.45099678430141599</v>
      </c>
      <c r="M10" s="17"/>
      <c r="N10" s="17">
        <v>0.40824253674468702</v>
      </c>
      <c r="O10" s="17">
        <v>0.56675236852266897</v>
      </c>
      <c r="P10" s="17">
        <v>0.46257754671152701</v>
      </c>
      <c r="Q10" s="17">
        <v>0.44941401001909997</v>
      </c>
      <c r="R10" s="17">
        <v>0.49880861283108802</v>
      </c>
      <c r="S10" s="17">
        <v>0.43145695353108898</v>
      </c>
      <c r="T10" s="17">
        <v>0.50583831967874304</v>
      </c>
      <c r="U10" s="17">
        <v>0.42390661537649099</v>
      </c>
      <c r="V10" s="17">
        <v>0.41459955470021398</v>
      </c>
      <c r="W10" s="17"/>
      <c r="X10" s="17">
        <v>0.452701193189121</v>
      </c>
      <c r="Y10" s="17">
        <v>0.46642040324358103</v>
      </c>
    </row>
    <row r="11" spans="2:25" ht="29" x14ac:dyDescent="0.35">
      <c r="B11" s="18" t="s">
        <v>132</v>
      </c>
      <c r="C11" s="17">
        <v>0.140937258257682</v>
      </c>
      <c r="D11" s="17">
        <v>0.14441542937085899</v>
      </c>
      <c r="E11" s="17">
        <v>0.13510511075207901</v>
      </c>
      <c r="F11" s="17"/>
      <c r="G11" s="17">
        <v>0.17713196121177099</v>
      </c>
      <c r="H11" s="17">
        <v>0.14253857005161899</v>
      </c>
      <c r="I11" s="17">
        <v>0.144117424151191</v>
      </c>
      <c r="J11" s="17">
        <v>0.116054506182619</v>
      </c>
      <c r="K11" s="17">
        <v>0.146017764060455</v>
      </c>
      <c r="L11" s="17">
        <v>0.16775410350703501</v>
      </c>
      <c r="M11" s="17"/>
      <c r="N11" s="17">
        <v>0.13984891121662299</v>
      </c>
      <c r="O11" s="17">
        <v>0.104586956554877</v>
      </c>
      <c r="P11" s="17">
        <v>0.10806795620812699</v>
      </c>
      <c r="Q11" s="17">
        <v>0.164016875359143</v>
      </c>
      <c r="R11" s="17">
        <v>0.180435383069075</v>
      </c>
      <c r="S11" s="17">
        <v>0.120304016370762</v>
      </c>
      <c r="T11" s="17">
        <v>0.17119603773070999</v>
      </c>
      <c r="U11" s="17">
        <v>0.12657015802478999</v>
      </c>
      <c r="V11" s="17">
        <v>9.6255566149116803E-2</v>
      </c>
      <c r="W11" s="17"/>
      <c r="X11" s="17">
        <v>0.12169498306498901</v>
      </c>
      <c r="Y11" s="17">
        <v>0.15666989682080801</v>
      </c>
    </row>
    <row r="12" spans="2:25" x14ac:dyDescent="0.35">
      <c r="B12" s="18" t="s">
        <v>133</v>
      </c>
      <c r="C12" s="17">
        <v>6.2671932290242094E-2</v>
      </c>
      <c r="D12" s="17">
        <v>5.9969723258412801E-2</v>
      </c>
      <c r="E12" s="17">
        <v>6.5751892957493993E-2</v>
      </c>
      <c r="F12" s="17"/>
      <c r="G12" s="17">
        <v>4.54255143063301E-2</v>
      </c>
      <c r="H12" s="17">
        <v>6.7129265024690299E-2</v>
      </c>
      <c r="I12" s="17">
        <v>6.99767564469915E-2</v>
      </c>
      <c r="J12" s="17">
        <v>6.7057464171963094E-2</v>
      </c>
      <c r="K12" s="17">
        <v>5.2580766874429599E-2</v>
      </c>
      <c r="L12" s="17">
        <v>4.6493085472355998E-2</v>
      </c>
      <c r="M12" s="17"/>
      <c r="N12" s="17">
        <v>3.07322599687345E-2</v>
      </c>
      <c r="O12" s="17">
        <v>3.05134609522398E-2</v>
      </c>
      <c r="P12" s="17">
        <v>7.6573510503386594E-2</v>
      </c>
      <c r="Q12" s="17">
        <v>7.18243529347177E-2</v>
      </c>
      <c r="R12" s="17">
        <v>7.4163996526962206E-2</v>
      </c>
      <c r="S12" s="17">
        <v>3.6773745447860301E-2</v>
      </c>
      <c r="T12" s="17">
        <v>7.7190927175242702E-2</v>
      </c>
      <c r="U12" s="17">
        <v>5.0238635281136597E-2</v>
      </c>
      <c r="V12" s="17">
        <v>6.7698524798479306E-2</v>
      </c>
      <c r="W12" s="17"/>
      <c r="X12" s="17">
        <v>6.3287631956490301E-2</v>
      </c>
      <c r="Y12" s="17">
        <v>6.2168531303845198E-2</v>
      </c>
    </row>
    <row r="13" spans="2:25" x14ac:dyDescent="0.35">
      <c r="B13" s="18" t="s">
        <v>134</v>
      </c>
      <c r="C13" s="17">
        <v>2.0365904404981101E-2</v>
      </c>
      <c r="D13" s="17">
        <v>1.93291400097041E-2</v>
      </c>
      <c r="E13" s="17">
        <v>2.17309980796292E-2</v>
      </c>
      <c r="F13" s="17"/>
      <c r="G13" s="17">
        <v>3.14707107650085E-2</v>
      </c>
      <c r="H13" s="17">
        <v>2.16784443917384E-2</v>
      </c>
      <c r="I13" s="17">
        <v>1.61322696985448E-2</v>
      </c>
      <c r="J13" s="17">
        <v>2.20946500617305E-2</v>
      </c>
      <c r="K13" s="17">
        <v>2.0417400092078802E-2</v>
      </c>
      <c r="L13" s="17">
        <v>1.0746373132802901E-2</v>
      </c>
      <c r="M13" s="17"/>
      <c r="N13" s="17">
        <v>8.2770727524654492E-3</v>
      </c>
      <c r="O13" s="17">
        <v>4.1564456709250998E-2</v>
      </c>
      <c r="P13" s="17">
        <v>2.9447065170762801E-2</v>
      </c>
      <c r="Q13" s="17">
        <v>2.2190300101927098E-2</v>
      </c>
      <c r="R13" s="17">
        <v>1.8831874214301599E-2</v>
      </c>
      <c r="S13" s="17">
        <v>1.02265502779248E-2</v>
      </c>
      <c r="T13" s="17">
        <v>1.8539495518221701E-2</v>
      </c>
      <c r="U13" s="17">
        <v>2.67782960447422E-2</v>
      </c>
      <c r="V13" s="17">
        <v>1.01602221641329E-2</v>
      </c>
      <c r="W13" s="17"/>
      <c r="X13" s="17">
        <v>1.02763637494064E-2</v>
      </c>
      <c r="Y13" s="17">
        <v>2.8615193785396599E-2</v>
      </c>
    </row>
    <row r="14" spans="2:25" x14ac:dyDescent="0.35">
      <c r="B14" s="18" t="s">
        <v>69</v>
      </c>
      <c r="C14" s="17">
        <v>3.5561758212283197E-2</v>
      </c>
      <c r="D14" s="17">
        <v>3.47545482144875E-2</v>
      </c>
      <c r="E14" s="17">
        <v>3.60572557621937E-2</v>
      </c>
      <c r="F14" s="17"/>
      <c r="G14" s="17">
        <v>1.468421958653E-2</v>
      </c>
      <c r="H14" s="17">
        <v>2.44826863532004E-2</v>
      </c>
      <c r="I14" s="17">
        <v>2.94194184301611E-2</v>
      </c>
      <c r="J14" s="17">
        <v>4.3417103124410897E-2</v>
      </c>
      <c r="K14" s="17">
        <v>4.4416444960830199E-2</v>
      </c>
      <c r="L14" s="17">
        <v>7.5512308860765903E-2</v>
      </c>
      <c r="M14" s="17"/>
      <c r="N14" s="17">
        <v>5.6846193906478E-2</v>
      </c>
      <c r="O14" s="17">
        <v>0</v>
      </c>
      <c r="P14" s="17">
        <v>6.4263655471406098E-2</v>
      </c>
      <c r="Q14" s="17">
        <v>3.7748384364801803E-2</v>
      </c>
      <c r="R14" s="17">
        <v>1.8571608864398299E-2</v>
      </c>
      <c r="S14" s="17">
        <v>4.5722358995335902E-2</v>
      </c>
      <c r="T14" s="17">
        <v>3.5786769845412299E-2</v>
      </c>
      <c r="U14" s="17">
        <v>2.18603381920815E-2</v>
      </c>
      <c r="V14" s="17">
        <v>1.13917778046941E-2</v>
      </c>
      <c r="W14" s="17"/>
      <c r="X14" s="17">
        <v>1.9824987323807101E-2</v>
      </c>
      <c r="Y14" s="17">
        <v>4.8428268334387903E-2</v>
      </c>
    </row>
    <row r="15" spans="2:25" x14ac:dyDescent="0.35">
      <c r="B15" s="18" t="s">
        <v>135</v>
      </c>
      <c r="C15" s="21">
        <v>0.74046314683481196</v>
      </c>
      <c r="D15" s="21">
        <v>0.741531159146537</v>
      </c>
      <c r="E15" s="21">
        <v>0.741354742448604</v>
      </c>
      <c r="F15" s="21"/>
      <c r="G15" s="21">
        <v>0.73128759413036004</v>
      </c>
      <c r="H15" s="21">
        <v>0.74417103417875197</v>
      </c>
      <c r="I15" s="21">
        <v>0.740354131273111</v>
      </c>
      <c r="J15" s="21">
        <v>0.75137627645927596</v>
      </c>
      <c r="K15" s="21">
        <v>0.73656762401220699</v>
      </c>
      <c r="L15" s="21">
        <v>0.699494129027041</v>
      </c>
      <c r="M15" s="21"/>
      <c r="N15" s="21">
        <v>0.76429556215569905</v>
      </c>
      <c r="O15" s="21">
        <v>0.82333512578363199</v>
      </c>
      <c r="P15" s="21">
        <v>0.72164781264631805</v>
      </c>
      <c r="Q15" s="21">
        <v>0.70422008723940999</v>
      </c>
      <c r="R15" s="21">
        <v>0.70799713732526304</v>
      </c>
      <c r="S15" s="21">
        <v>0.786973328908117</v>
      </c>
      <c r="T15" s="21">
        <v>0.69728676973041304</v>
      </c>
      <c r="U15" s="21">
        <v>0.77455257245724995</v>
      </c>
      <c r="V15" s="21">
        <v>0.81449390908357699</v>
      </c>
      <c r="W15" s="21"/>
      <c r="X15" s="21">
        <v>0.78491603390530695</v>
      </c>
      <c r="Y15" s="21">
        <v>0.70411810975556299</v>
      </c>
    </row>
    <row r="16" spans="2:25" x14ac:dyDescent="0.35">
      <c r="B16" s="18" t="s">
        <v>136</v>
      </c>
      <c r="C16" s="21">
        <v>8.3037836695223202E-2</v>
      </c>
      <c r="D16" s="21">
        <v>7.9298863268116804E-2</v>
      </c>
      <c r="E16" s="21">
        <v>8.74828910371232E-2</v>
      </c>
      <c r="F16" s="21"/>
      <c r="G16" s="21">
        <v>7.68962250713386E-2</v>
      </c>
      <c r="H16" s="21">
        <v>8.8807709416428696E-2</v>
      </c>
      <c r="I16" s="21">
        <v>8.6109026145536394E-2</v>
      </c>
      <c r="J16" s="21">
        <v>8.9152114233693597E-2</v>
      </c>
      <c r="K16" s="21">
        <v>7.2998166966508293E-2</v>
      </c>
      <c r="L16" s="21">
        <v>5.7239458605158902E-2</v>
      </c>
      <c r="M16" s="21"/>
      <c r="N16" s="21">
        <v>3.9009332721199899E-2</v>
      </c>
      <c r="O16" s="21">
        <v>7.2077917661490798E-2</v>
      </c>
      <c r="P16" s="21">
        <v>0.10602057567414901</v>
      </c>
      <c r="Q16" s="21">
        <v>9.4014653036644802E-2</v>
      </c>
      <c r="R16" s="21">
        <v>9.2995870741263795E-2</v>
      </c>
      <c r="S16" s="21">
        <v>4.7000295725785103E-2</v>
      </c>
      <c r="T16" s="21">
        <v>9.5730422693464406E-2</v>
      </c>
      <c r="U16" s="21">
        <v>7.7016931325878807E-2</v>
      </c>
      <c r="V16" s="21">
        <v>7.7858746962612205E-2</v>
      </c>
      <c r="W16" s="21"/>
      <c r="X16" s="21">
        <v>7.3563995705896806E-2</v>
      </c>
      <c r="Y16" s="21">
        <v>9.0783725089241901E-2</v>
      </c>
    </row>
    <row r="17" spans="2:25" x14ac:dyDescent="0.35">
      <c r="B17" s="18" t="s">
        <v>92</v>
      </c>
      <c r="C17" s="22">
        <v>0.65742531013958805</v>
      </c>
      <c r="D17" s="22">
        <v>0.66223229587842003</v>
      </c>
      <c r="E17" s="22">
        <v>0.65387185141148096</v>
      </c>
      <c r="F17" s="22"/>
      <c r="G17" s="22">
        <v>0.65439136905902096</v>
      </c>
      <c r="H17" s="22">
        <v>0.65536332476232395</v>
      </c>
      <c r="I17" s="22">
        <v>0.65424510512757506</v>
      </c>
      <c r="J17" s="22">
        <v>0.662224162225583</v>
      </c>
      <c r="K17" s="22">
        <v>0.66356945704569903</v>
      </c>
      <c r="L17" s="22">
        <v>0.642254670421882</v>
      </c>
      <c r="M17" s="22"/>
      <c r="N17" s="22">
        <v>0.72528622943449905</v>
      </c>
      <c r="O17" s="22">
        <v>0.75125720812214103</v>
      </c>
      <c r="P17" s="22">
        <v>0.61562723697216803</v>
      </c>
      <c r="Q17" s="22">
        <v>0.61020543420276596</v>
      </c>
      <c r="R17" s="22">
        <v>0.61500126658399901</v>
      </c>
      <c r="S17" s="22">
        <v>0.73997303318233199</v>
      </c>
      <c r="T17" s="22">
        <v>0.60155634703694905</v>
      </c>
      <c r="U17" s="22">
        <v>0.69753564113137101</v>
      </c>
      <c r="V17" s="22">
        <v>0.73663516212096503</v>
      </c>
      <c r="W17" s="22"/>
      <c r="X17" s="22">
        <v>0.71135203819940995</v>
      </c>
      <c r="Y17" s="22">
        <v>0.61333438466632095</v>
      </c>
    </row>
    <row r="18" spans="2:25" x14ac:dyDescent="0.35">
      <c r="B18" s="16" t="s">
        <v>532</v>
      </c>
    </row>
    <row r="19" spans="2:25" x14ac:dyDescent="0.35">
      <c r="B19" t="s">
        <v>51</v>
      </c>
    </row>
    <row r="20" spans="2:25" x14ac:dyDescent="0.35">
      <c r="B20" t="s">
        <v>52</v>
      </c>
    </row>
    <row r="22" spans="2:25" x14ac:dyDescent="0.35">
      <c r="B22" s="8" t="str">
        <f>HYPERLINK("#'Contents'!A1", "Return to Contents")</f>
        <v>Return to Contents</v>
      </c>
    </row>
  </sheetData>
  <mergeCells count="5">
    <mergeCell ref="D5:E5"/>
    <mergeCell ref="G5:L5"/>
    <mergeCell ref="N5:V5"/>
    <mergeCell ref="X5:Y5"/>
    <mergeCell ref="D2:W2"/>
  </mergeCells>
  <pageMargins left="0.7" right="0.7" top="0.75" bottom="0.75" header="0.3" footer="0.3"/>
  <pageSetup paperSize="9" orientation="portrait" horizontalDpi="300" verticalDpi="300"/>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B2:Y2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s>
  <sheetData>
    <row r="2" spans="2:25" ht="40" customHeight="1" x14ac:dyDescent="0.35">
      <c r="D2" s="30" t="s">
        <v>154</v>
      </c>
      <c r="E2" s="26"/>
      <c r="F2" s="26"/>
      <c r="G2" s="26"/>
      <c r="H2" s="26"/>
      <c r="I2" s="26"/>
      <c r="J2" s="26"/>
      <c r="K2" s="26"/>
      <c r="L2" s="26"/>
      <c r="M2" s="26"/>
      <c r="N2" s="26"/>
      <c r="O2" s="26"/>
      <c r="P2" s="26"/>
      <c r="Q2" s="26"/>
      <c r="R2" s="26"/>
      <c r="S2" s="26"/>
      <c r="T2" s="26"/>
      <c r="U2" s="26"/>
      <c r="V2" s="26"/>
      <c r="W2" s="26"/>
    </row>
    <row r="5" spans="2:25" ht="30" customHeight="1" x14ac:dyDescent="0.35">
      <c r="B5" s="15"/>
      <c r="C5" s="15"/>
      <c r="D5" s="29" t="s">
        <v>38</v>
      </c>
      <c r="E5" s="29"/>
      <c r="F5" s="15"/>
      <c r="G5" s="29" t="s">
        <v>39</v>
      </c>
      <c r="H5" s="29"/>
      <c r="I5" s="29"/>
      <c r="J5" s="29"/>
      <c r="K5" s="29"/>
      <c r="L5" s="29"/>
      <c r="M5" s="15"/>
      <c r="N5" s="29" t="s">
        <v>40</v>
      </c>
      <c r="O5" s="29"/>
      <c r="P5" s="29"/>
      <c r="Q5" s="29"/>
      <c r="R5" s="29"/>
      <c r="S5" s="29"/>
      <c r="T5" s="29"/>
      <c r="U5" s="29"/>
      <c r="V5" s="29"/>
      <c r="W5" s="15"/>
      <c r="X5" s="29" t="s">
        <v>41</v>
      </c>
      <c r="Y5" s="29"/>
    </row>
    <row r="6" spans="2:25" ht="29"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row>
    <row r="7" spans="2:25" ht="30" customHeight="1" x14ac:dyDescent="0.35">
      <c r="B7" s="10" t="s">
        <v>19</v>
      </c>
      <c r="C7" s="10">
        <v>6838</v>
      </c>
      <c r="D7" s="10">
        <v>3283</v>
      </c>
      <c r="E7" s="10">
        <v>3541</v>
      </c>
      <c r="F7" s="10"/>
      <c r="G7" s="10">
        <v>635</v>
      </c>
      <c r="H7" s="10">
        <v>1075</v>
      </c>
      <c r="I7" s="10">
        <v>1093</v>
      </c>
      <c r="J7" s="10">
        <v>1228</v>
      </c>
      <c r="K7" s="10">
        <v>1156</v>
      </c>
      <c r="L7" s="10">
        <v>1651</v>
      </c>
      <c r="M7" s="10"/>
      <c r="N7" s="10">
        <v>208</v>
      </c>
      <c r="O7" s="10">
        <v>200</v>
      </c>
      <c r="P7" s="10">
        <v>1002</v>
      </c>
      <c r="Q7" s="10">
        <v>1000</v>
      </c>
      <c r="R7" s="10">
        <v>1004</v>
      </c>
      <c r="S7" s="10">
        <v>1006</v>
      </c>
      <c r="T7" s="10">
        <v>1006</v>
      </c>
      <c r="U7" s="10">
        <v>1007</v>
      </c>
      <c r="V7" s="10">
        <v>405</v>
      </c>
      <c r="W7" s="10"/>
      <c r="X7" s="10">
        <v>2650</v>
      </c>
      <c r="Y7" s="10">
        <v>4188</v>
      </c>
    </row>
    <row r="8" spans="2:25" ht="30" customHeight="1" x14ac:dyDescent="0.35">
      <c r="B8" s="11" t="s">
        <v>20</v>
      </c>
      <c r="C8" s="11">
        <v>6838</v>
      </c>
      <c r="D8" s="11">
        <v>3309</v>
      </c>
      <c r="E8" s="11">
        <v>3515</v>
      </c>
      <c r="F8" s="11"/>
      <c r="G8" s="11">
        <v>645</v>
      </c>
      <c r="H8" s="11">
        <v>1026</v>
      </c>
      <c r="I8" s="11">
        <v>1111</v>
      </c>
      <c r="J8" s="11">
        <v>1184</v>
      </c>
      <c r="K8" s="11">
        <v>1140</v>
      </c>
      <c r="L8" s="11">
        <v>1732</v>
      </c>
      <c r="M8" s="11"/>
      <c r="N8" s="11">
        <v>208</v>
      </c>
      <c r="O8" s="11">
        <v>200</v>
      </c>
      <c r="P8" s="11">
        <v>1002</v>
      </c>
      <c r="Q8" s="11">
        <v>1000</v>
      </c>
      <c r="R8" s="11">
        <v>1004</v>
      </c>
      <c r="S8" s="11">
        <v>1006</v>
      </c>
      <c r="T8" s="11">
        <v>1006</v>
      </c>
      <c r="U8" s="11">
        <v>1007</v>
      </c>
      <c r="V8" s="11">
        <v>405</v>
      </c>
      <c r="W8" s="11"/>
      <c r="X8" s="11">
        <v>2436</v>
      </c>
      <c r="Y8" s="11">
        <v>4402</v>
      </c>
    </row>
    <row r="9" spans="2:25" x14ac:dyDescent="0.35">
      <c r="B9" s="18" t="s">
        <v>141</v>
      </c>
      <c r="C9" s="17">
        <v>0.81842809262940397</v>
      </c>
      <c r="D9" s="17">
        <v>0.82763445470069896</v>
      </c>
      <c r="E9" s="17">
        <v>0.81023917981393301</v>
      </c>
      <c r="F9" s="17"/>
      <c r="G9" s="17">
        <v>0.73691719150778001</v>
      </c>
      <c r="H9" s="17">
        <v>0.79524474690602598</v>
      </c>
      <c r="I9" s="17">
        <v>0.81278861263393698</v>
      </c>
      <c r="J9" s="17">
        <v>0.83926994691558698</v>
      </c>
      <c r="K9" s="17">
        <v>0.84013335437550396</v>
      </c>
      <c r="L9" s="17">
        <v>0.837574676508135</v>
      </c>
      <c r="M9" s="17"/>
      <c r="N9" s="17">
        <v>0.94143195573983596</v>
      </c>
      <c r="O9" s="17">
        <v>0.98064619897463701</v>
      </c>
      <c r="P9" s="17">
        <v>0.83605451356394</v>
      </c>
      <c r="Q9" s="17">
        <v>0.75272665688676699</v>
      </c>
      <c r="R9" s="17">
        <v>0.73805005907468002</v>
      </c>
      <c r="S9" s="17">
        <v>0.86559933802464695</v>
      </c>
      <c r="T9" s="17">
        <v>0.84341697196387699</v>
      </c>
      <c r="U9" s="17">
        <v>0.786925591720262</v>
      </c>
      <c r="V9" s="17">
        <v>0.89210911928760295</v>
      </c>
      <c r="W9" s="17"/>
      <c r="X9" s="17">
        <v>0.84304070891414096</v>
      </c>
      <c r="Y9" s="17">
        <v>0.80480829466259496</v>
      </c>
    </row>
    <row r="10" spans="2:25" ht="29" x14ac:dyDescent="0.35">
      <c r="B10" s="18" t="s">
        <v>142</v>
      </c>
      <c r="C10" s="17">
        <v>0.80157041833897702</v>
      </c>
      <c r="D10" s="17">
        <v>0.79806816233271305</v>
      </c>
      <c r="E10" s="17">
        <v>0.80522063149935297</v>
      </c>
      <c r="F10" s="17"/>
      <c r="G10" s="17">
        <v>0.75814988667102701</v>
      </c>
      <c r="H10" s="17">
        <v>0.80200909141739596</v>
      </c>
      <c r="I10" s="17">
        <v>0.80639581443795805</v>
      </c>
      <c r="J10" s="17">
        <v>0.82522425933635901</v>
      </c>
      <c r="K10" s="17">
        <v>0.80738279849577299</v>
      </c>
      <c r="L10" s="17">
        <v>0.79438462678296395</v>
      </c>
      <c r="M10" s="17"/>
      <c r="N10" s="17">
        <v>0.74181740795874596</v>
      </c>
      <c r="O10" s="17">
        <v>0.83811299418544205</v>
      </c>
      <c r="P10" s="17">
        <v>0.75585137892541998</v>
      </c>
      <c r="Q10" s="17">
        <v>0.79983953763111504</v>
      </c>
      <c r="R10" s="17">
        <v>0.83872084002430403</v>
      </c>
      <c r="S10" s="17">
        <v>0.82248615883457699</v>
      </c>
      <c r="T10" s="17">
        <v>0.81333826268573495</v>
      </c>
      <c r="U10" s="17">
        <v>0.77923807996801098</v>
      </c>
      <c r="V10" s="17">
        <v>0.81384553983558205</v>
      </c>
      <c r="W10" s="17"/>
      <c r="X10" s="17">
        <v>0.82377224054023002</v>
      </c>
      <c r="Y10" s="17">
        <v>0.78928467311880701</v>
      </c>
    </row>
    <row r="11" spans="2:25" x14ac:dyDescent="0.35">
      <c r="B11" s="18" t="s">
        <v>143</v>
      </c>
      <c r="C11" s="17">
        <v>0.604557912558773</v>
      </c>
      <c r="D11" s="17">
        <v>0.63192678363934496</v>
      </c>
      <c r="E11" s="17">
        <v>0.57786320311902595</v>
      </c>
      <c r="F11" s="17"/>
      <c r="G11" s="17">
        <v>0.81019331376439496</v>
      </c>
      <c r="H11" s="17">
        <v>0.77654512451282398</v>
      </c>
      <c r="I11" s="17">
        <v>0.68028357313463905</v>
      </c>
      <c r="J11" s="17">
        <v>0.65321696571533705</v>
      </c>
      <c r="K11" s="17">
        <v>0.54273718135923998</v>
      </c>
      <c r="L11" s="17">
        <v>0.385083581922814</v>
      </c>
      <c r="M11" s="17"/>
      <c r="N11" s="17">
        <v>0.66127531478847501</v>
      </c>
      <c r="O11" s="17">
        <v>0.69912623259810203</v>
      </c>
      <c r="P11" s="17">
        <v>0.511914115728342</v>
      </c>
      <c r="Q11" s="17">
        <v>0.54458947883735698</v>
      </c>
      <c r="R11" s="17">
        <v>0.637969917973367</v>
      </c>
      <c r="S11" s="17">
        <v>0.53175049748511105</v>
      </c>
      <c r="T11" s="17">
        <v>0.64840902562098801</v>
      </c>
      <c r="U11" s="17">
        <v>0.65289670791201504</v>
      </c>
      <c r="V11" s="17">
        <v>0.77491310747336595</v>
      </c>
      <c r="W11" s="17"/>
      <c r="X11" s="17">
        <v>0.66711493584447801</v>
      </c>
      <c r="Y11" s="17">
        <v>0.56994094991247801</v>
      </c>
    </row>
    <row r="12" spans="2:25" ht="29" x14ac:dyDescent="0.35">
      <c r="B12" s="18" t="s">
        <v>144</v>
      </c>
      <c r="C12" s="17">
        <v>0.57063061084358901</v>
      </c>
      <c r="D12" s="17">
        <v>0.59169486098694402</v>
      </c>
      <c r="E12" s="17">
        <v>0.55060358929412001</v>
      </c>
      <c r="F12" s="17"/>
      <c r="G12" s="17">
        <v>0.52855101411893901</v>
      </c>
      <c r="H12" s="17">
        <v>0.60988686463370401</v>
      </c>
      <c r="I12" s="17">
        <v>0.59772175539547101</v>
      </c>
      <c r="J12" s="17">
        <v>0.628452760806398</v>
      </c>
      <c r="K12" s="17">
        <v>0.58897383913694401</v>
      </c>
      <c r="L12" s="17">
        <v>0.49408701837105401</v>
      </c>
      <c r="M12" s="17"/>
      <c r="N12" s="17">
        <v>0.51621556621183995</v>
      </c>
      <c r="O12" s="17">
        <v>0.58330031646670399</v>
      </c>
      <c r="P12" s="17">
        <v>0.51810634862691696</v>
      </c>
      <c r="Q12" s="17">
        <v>0.60087802197955797</v>
      </c>
      <c r="R12" s="17">
        <v>0.50172899389439496</v>
      </c>
      <c r="S12" s="17">
        <v>0.49176914497579</v>
      </c>
      <c r="T12" s="17">
        <v>0.73062408673976198</v>
      </c>
      <c r="U12" s="17">
        <v>0.56479567899797101</v>
      </c>
      <c r="V12" s="17">
        <v>0.63137255025321604</v>
      </c>
      <c r="W12" s="17"/>
      <c r="X12" s="17">
        <v>0.62726481735012796</v>
      </c>
      <c r="Y12" s="17">
        <v>0.53929113674192797</v>
      </c>
    </row>
    <row r="13" spans="2:25" ht="29" x14ac:dyDescent="0.35">
      <c r="B13" s="18" t="s">
        <v>145</v>
      </c>
      <c r="C13" s="17">
        <v>0.51627077692218104</v>
      </c>
      <c r="D13" s="17">
        <v>0.53015483626940596</v>
      </c>
      <c r="E13" s="17">
        <v>0.503136569171721</v>
      </c>
      <c r="F13" s="17"/>
      <c r="G13" s="17">
        <v>0.60773895380752196</v>
      </c>
      <c r="H13" s="17">
        <v>0.58739682514036595</v>
      </c>
      <c r="I13" s="17">
        <v>0.56136376290595302</v>
      </c>
      <c r="J13" s="17">
        <v>0.56083490719482998</v>
      </c>
      <c r="K13" s="17">
        <v>0.49345322013973197</v>
      </c>
      <c r="L13" s="17">
        <v>0.39576672860723699</v>
      </c>
      <c r="M13" s="17"/>
      <c r="N13" s="17">
        <v>0.58988204295051905</v>
      </c>
      <c r="O13" s="17">
        <v>0.73173832769220604</v>
      </c>
      <c r="P13" s="17">
        <v>0.36708747637230199</v>
      </c>
      <c r="Q13" s="17">
        <v>0.55823243616529605</v>
      </c>
      <c r="R13" s="17">
        <v>0.418889628434227</v>
      </c>
      <c r="S13" s="17">
        <v>0.54304696173942901</v>
      </c>
      <c r="T13" s="17">
        <v>0.52508958851700205</v>
      </c>
      <c r="U13" s="17">
        <v>0.64784051038035795</v>
      </c>
      <c r="V13" s="17">
        <v>0.46339852882080701</v>
      </c>
      <c r="W13" s="17"/>
      <c r="X13" s="17">
        <v>0.58681308564548895</v>
      </c>
      <c r="Y13" s="17">
        <v>0.47723502461495598</v>
      </c>
    </row>
    <row r="14" spans="2:25" ht="29" x14ac:dyDescent="0.35">
      <c r="B14" s="18" t="s">
        <v>146</v>
      </c>
      <c r="C14" s="17">
        <v>0.51223184135465805</v>
      </c>
      <c r="D14" s="17">
        <v>0.489466417672688</v>
      </c>
      <c r="E14" s="17">
        <v>0.53345486008147502</v>
      </c>
      <c r="F14" s="17"/>
      <c r="G14" s="17">
        <v>0.65908662245792504</v>
      </c>
      <c r="H14" s="17">
        <v>0.59154209781768197</v>
      </c>
      <c r="I14" s="17">
        <v>0.57613032954471499</v>
      </c>
      <c r="J14" s="17">
        <v>0.50562863735251395</v>
      </c>
      <c r="K14" s="17">
        <v>0.46577776114711</v>
      </c>
      <c r="L14" s="17">
        <v>0.404731244377591</v>
      </c>
      <c r="M14" s="17"/>
      <c r="N14" s="17">
        <v>0.499567700476299</v>
      </c>
      <c r="O14" s="17">
        <v>0.39405748584510297</v>
      </c>
      <c r="P14" s="17">
        <v>0.47455740578279698</v>
      </c>
      <c r="Q14" s="17">
        <v>0.45793716979096799</v>
      </c>
      <c r="R14" s="17">
        <v>0.49522258859512902</v>
      </c>
      <c r="S14" s="17">
        <v>0.45636642519393</v>
      </c>
      <c r="T14" s="17">
        <v>0.56780048282148599</v>
      </c>
      <c r="U14" s="17">
        <v>0.67304873118810904</v>
      </c>
      <c r="V14" s="17">
        <v>0.44740889187724497</v>
      </c>
      <c r="W14" s="17"/>
      <c r="X14" s="17">
        <v>0.57936697308583196</v>
      </c>
      <c r="Y14" s="17">
        <v>0.475081506742698</v>
      </c>
    </row>
    <row r="15" spans="2:25" x14ac:dyDescent="0.35">
      <c r="B15" s="18" t="s">
        <v>147</v>
      </c>
      <c r="C15" s="17">
        <v>0.505949596484501</v>
      </c>
      <c r="D15" s="17">
        <v>0.47186213403358601</v>
      </c>
      <c r="E15" s="17">
        <v>0.53808276869937199</v>
      </c>
      <c r="F15" s="17"/>
      <c r="G15" s="17">
        <v>0.50973171702204101</v>
      </c>
      <c r="H15" s="17">
        <v>0.503366950485855</v>
      </c>
      <c r="I15" s="17">
        <v>0.50186008342561095</v>
      </c>
      <c r="J15" s="17">
        <v>0.50228804123107795</v>
      </c>
      <c r="K15" s="17">
        <v>0.506307375121687</v>
      </c>
      <c r="L15" s="17">
        <v>0.51096083273103299</v>
      </c>
      <c r="M15" s="17"/>
      <c r="N15" s="17">
        <v>0.555932424374736</v>
      </c>
      <c r="O15" s="17">
        <v>0.58082232284189494</v>
      </c>
      <c r="P15" s="17">
        <v>0.64440087997734297</v>
      </c>
      <c r="Q15" s="17">
        <v>0.33922917960534799</v>
      </c>
      <c r="R15" s="17">
        <v>0.41734032418420502</v>
      </c>
      <c r="S15" s="17">
        <v>0.42723746059418699</v>
      </c>
      <c r="T15" s="17">
        <v>0.475503741258816</v>
      </c>
      <c r="U15" s="17">
        <v>0.66239953786071304</v>
      </c>
      <c r="V15" s="17">
        <v>0.614228151627769</v>
      </c>
      <c r="W15" s="17"/>
      <c r="X15" s="17">
        <v>0.57390000560591703</v>
      </c>
      <c r="Y15" s="17">
        <v>0.468348114655458</v>
      </c>
    </row>
    <row r="16" spans="2:25" x14ac:dyDescent="0.35">
      <c r="B16" s="18" t="s">
        <v>148</v>
      </c>
      <c r="C16" s="17">
        <v>0.41450542210890001</v>
      </c>
      <c r="D16" s="17">
        <v>0.45103776986050398</v>
      </c>
      <c r="E16" s="17">
        <v>0.38126335942116701</v>
      </c>
      <c r="F16" s="17"/>
      <c r="G16" s="17">
        <v>0.26705314270958702</v>
      </c>
      <c r="H16" s="17">
        <v>0.41562530858381702</v>
      </c>
      <c r="I16" s="17">
        <v>0.436978334286938</v>
      </c>
      <c r="J16" s="17">
        <v>0.41983430720582299</v>
      </c>
      <c r="K16" s="17">
        <v>0.430298569177263</v>
      </c>
      <c r="L16" s="17">
        <v>0.44026419598827599</v>
      </c>
      <c r="M16" s="17"/>
      <c r="N16" s="17">
        <v>0.41550438460061201</v>
      </c>
      <c r="O16" s="17">
        <v>0.363691243368018</v>
      </c>
      <c r="P16" s="17">
        <v>0.491850638159674</v>
      </c>
      <c r="Q16" s="17">
        <v>0.19273889991992099</v>
      </c>
      <c r="R16" s="17">
        <v>0.38654759804912098</v>
      </c>
      <c r="S16" s="17">
        <v>0.48560902444335702</v>
      </c>
      <c r="T16" s="17">
        <v>0.48875849392603699</v>
      </c>
      <c r="U16" s="17">
        <v>0.40305611583161</v>
      </c>
      <c r="V16" s="17">
        <v>0.53201643405149801</v>
      </c>
      <c r="W16" s="17"/>
      <c r="X16" s="17">
        <v>0.52759025759007705</v>
      </c>
      <c r="Y16" s="17">
        <v>0.35192805956663997</v>
      </c>
    </row>
    <row r="17" spans="2:25" x14ac:dyDescent="0.35">
      <c r="B17" s="18" t="s">
        <v>149</v>
      </c>
      <c r="C17" s="17">
        <v>0.25463017066281901</v>
      </c>
      <c r="D17" s="17">
        <v>0.25566777110129402</v>
      </c>
      <c r="E17" s="17">
        <v>0.25388724893450398</v>
      </c>
      <c r="F17" s="17"/>
      <c r="G17" s="17">
        <v>0.38684231943199199</v>
      </c>
      <c r="H17" s="17">
        <v>0.40348460748153198</v>
      </c>
      <c r="I17" s="17">
        <v>0.32332890897975902</v>
      </c>
      <c r="J17" s="17">
        <v>0.25861861701967398</v>
      </c>
      <c r="K17" s="17">
        <v>0.170484578786049</v>
      </c>
      <c r="L17" s="17">
        <v>0.12590202779047799</v>
      </c>
      <c r="M17" s="17"/>
      <c r="N17" s="17">
        <v>0.18119837172011799</v>
      </c>
      <c r="O17" s="17">
        <v>0.34505258066994499</v>
      </c>
      <c r="P17" s="17">
        <v>0.22702395152476701</v>
      </c>
      <c r="Q17" s="17">
        <v>0.21908015829098801</v>
      </c>
      <c r="R17" s="17">
        <v>0.25148833824309402</v>
      </c>
      <c r="S17" s="17">
        <v>0.24341538700639201</v>
      </c>
      <c r="T17" s="17">
        <v>0.287653304908841</v>
      </c>
      <c r="U17" s="17">
        <v>0.31372496011457002</v>
      </c>
      <c r="V17" s="17">
        <v>0.210451213144729</v>
      </c>
      <c r="W17" s="17"/>
      <c r="X17" s="17">
        <v>0.324136160527842</v>
      </c>
      <c r="Y17" s="17">
        <v>0.21616788252192801</v>
      </c>
    </row>
    <row r="18" spans="2:25" x14ac:dyDescent="0.35">
      <c r="B18" s="18" t="s">
        <v>150</v>
      </c>
      <c r="C18" s="17">
        <v>0.25047188811066701</v>
      </c>
      <c r="D18" s="17">
        <v>0.235648671406267</v>
      </c>
      <c r="E18" s="17">
        <v>0.26435371233060101</v>
      </c>
      <c r="F18" s="17"/>
      <c r="G18" s="17">
        <v>0.33712301364568897</v>
      </c>
      <c r="H18" s="17">
        <v>0.31825658387939398</v>
      </c>
      <c r="I18" s="17">
        <v>0.28351377228989699</v>
      </c>
      <c r="J18" s="17">
        <v>0.25090519078551199</v>
      </c>
      <c r="K18" s="17">
        <v>0.194804533493704</v>
      </c>
      <c r="L18" s="17">
        <v>0.19324786243686101</v>
      </c>
      <c r="M18" s="17"/>
      <c r="N18" s="17">
        <v>0.41118455928609898</v>
      </c>
      <c r="O18" s="17">
        <v>0.50185724945616905</v>
      </c>
      <c r="P18" s="17">
        <v>0.221549592909423</v>
      </c>
      <c r="Q18" s="17">
        <v>0.15173610116536401</v>
      </c>
      <c r="R18" s="17">
        <v>0.22617036104507901</v>
      </c>
      <c r="S18" s="17">
        <v>0.298790429477442</v>
      </c>
      <c r="T18" s="17">
        <v>0.25180193688921698</v>
      </c>
      <c r="U18" s="17">
        <v>0.270378796945342</v>
      </c>
      <c r="V18" s="17">
        <v>0.246562290961273</v>
      </c>
      <c r="W18" s="17"/>
      <c r="X18" s="17">
        <v>0.30227474259759401</v>
      </c>
      <c r="Y18" s="17">
        <v>0.22180592249150199</v>
      </c>
    </row>
    <row r="19" spans="2:25" x14ac:dyDescent="0.35">
      <c r="B19" s="18" t="s">
        <v>151</v>
      </c>
      <c r="C19" s="17">
        <v>0.24205143259697401</v>
      </c>
      <c r="D19" s="17">
        <v>0.23308849697819001</v>
      </c>
      <c r="E19" s="17">
        <v>0.24979667481520801</v>
      </c>
      <c r="F19" s="17"/>
      <c r="G19" s="17">
        <v>0.50867096871789796</v>
      </c>
      <c r="H19" s="17">
        <v>0.402607047719237</v>
      </c>
      <c r="I19" s="17">
        <v>0.32385445763145898</v>
      </c>
      <c r="J19" s="17">
        <v>0.27279301379569498</v>
      </c>
      <c r="K19" s="17">
        <v>0.14928785324347801</v>
      </c>
      <c r="L19" s="17">
        <v>3.5362116846451699E-2</v>
      </c>
      <c r="M19" s="17"/>
      <c r="N19" s="17">
        <v>0.23960501814614099</v>
      </c>
      <c r="O19" s="17">
        <v>0.38864245212696902</v>
      </c>
      <c r="P19" s="17">
        <v>0.187793691966784</v>
      </c>
      <c r="Q19" s="17">
        <v>0.207027738219632</v>
      </c>
      <c r="R19" s="17">
        <v>0.24472027019998399</v>
      </c>
      <c r="S19" s="17">
        <v>0.206929130740613</v>
      </c>
      <c r="T19" s="17">
        <v>0.29234917999989402</v>
      </c>
      <c r="U19" s="17">
        <v>0.260482229982198</v>
      </c>
      <c r="V19" s="17">
        <v>0.30149532555594899</v>
      </c>
      <c r="W19" s="17"/>
      <c r="X19" s="17">
        <v>0.273211277850678</v>
      </c>
      <c r="Y19" s="17">
        <v>0.224808617281331</v>
      </c>
    </row>
    <row r="20" spans="2:25" ht="29" x14ac:dyDescent="0.35">
      <c r="B20" s="18" t="s">
        <v>152</v>
      </c>
      <c r="C20" s="17">
        <v>0.16685688801983001</v>
      </c>
      <c r="D20" s="17">
        <v>0.18605923668173399</v>
      </c>
      <c r="E20" s="17">
        <v>0.148667846912277</v>
      </c>
      <c r="F20" s="17"/>
      <c r="G20" s="17">
        <v>0.26494693284762699</v>
      </c>
      <c r="H20" s="17">
        <v>0.28838090659313997</v>
      </c>
      <c r="I20" s="17">
        <v>0.227163569359496</v>
      </c>
      <c r="J20" s="17">
        <v>0.191165146454296</v>
      </c>
      <c r="K20" s="17">
        <v>0.118275442647589</v>
      </c>
      <c r="L20" s="17">
        <v>3.5094945546554103E-2</v>
      </c>
      <c r="M20" s="17"/>
      <c r="N20" s="17">
        <v>0.14853560556827899</v>
      </c>
      <c r="O20" s="17">
        <v>0.24492387757706599</v>
      </c>
      <c r="P20" s="17">
        <v>9.5513330203319105E-2</v>
      </c>
      <c r="Q20" s="17">
        <v>0.15087366646367401</v>
      </c>
      <c r="R20" s="17">
        <v>0.13458968357798101</v>
      </c>
      <c r="S20" s="17">
        <v>0.128099034576936</v>
      </c>
      <c r="T20" s="17">
        <v>0.28527776337546901</v>
      </c>
      <c r="U20" s="17">
        <v>0.20814290062750199</v>
      </c>
      <c r="V20" s="17">
        <v>0.13314615677597999</v>
      </c>
      <c r="W20" s="17"/>
      <c r="X20" s="17">
        <v>0.24621374922717401</v>
      </c>
      <c r="Y20" s="17">
        <v>0.12294345742714401</v>
      </c>
    </row>
    <row r="21" spans="2:25" x14ac:dyDescent="0.35">
      <c r="B21" s="18" t="s">
        <v>153</v>
      </c>
      <c r="C21" s="17">
        <v>9.2000318382972096E-2</v>
      </c>
      <c r="D21" s="17">
        <v>0.116004865199926</v>
      </c>
      <c r="E21" s="17">
        <v>6.83644499009778E-2</v>
      </c>
      <c r="F21" s="17"/>
      <c r="G21" s="17">
        <v>0.20429556257044501</v>
      </c>
      <c r="H21" s="17">
        <v>0.16078763473518301</v>
      </c>
      <c r="I21" s="17">
        <v>0.107295988680432</v>
      </c>
      <c r="J21" s="17">
        <v>8.6190987602702898E-2</v>
      </c>
      <c r="K21" s="17">
        <v>5.2971042795916599E-2</v>
      </c>
      <c r="L21" s="17">
        <v>2.9337128606275301E-2</v>
      </c>
      <c r="M21" s="17"/>
      <c r="N21" s="17">
        <v>5.6788923829539602E-2</v>
      </c>
      <c r="O21" s="17">
        <v>0.12574882421670899</v>
      </c>
      <c r="P21" s="17">
        <v>8.9686930418307595E-2</v>
      </c>
      <c r="Q21" s="17">
        <v>9.2983139371120099E-2</v>
      </c>
      <c r="R21" s="17">
        <v>0.107062542883734</v>
      </c>
      <c r="S21" s="17">
        <v>8.7406920752634606E-2</v>
      </c>
      <c r="T21" s="17">
        <v>9.0739375251670903E-2</v>
      </c>
      <c r="U21" s="17">
        <v>8.6655683994029106E-2</v>
      </c>
      <c r="V21" s="17">
        <v>8.7206498358088497E-2</v>
      </c>
      <c r="W21" s="17"/>
      <c r="X21" s="17">
        <v>0.10223109072808401</v>
      </c>
      <c r="Y21" s="17">
        <v>8.6338951433077293E-2</v>
      </c>
    </row>
    <row r="22" spans="2:25" x14ac:dyDescent="0.35">
      <c r="B22" s="18" t="s">
        <v>48</v>
      </c>
      <c r="C22" s="19">
        <v>1.95058231992855E-2</v>
      </c>
      <c r="D22" s="19">
        <v>1.5673286132297001E-2</v>
      </c>
      <c r="E22" s="19">
        <v>2.31918266831883E-2</v>
      </c>
      <c r="F22" s="19"/>
      <c r="G22" s="19">
        <v>1.5879694590648499E-2</v>
      </c>
      <c r="H22" s="19">
        <v>6.9728797140661998E-3</v>
      </c>
      <c r="I22" s="19">
        <v>1.50070378491278E-2</v>
      </c>
      <c r="J22" s="19">
        <v>2.2038925266821899E-2</v>
      </c>
      <c r="K22" s="19">
        <v>1.8839638820270802E-2</v>
      </c>
      <c r="L22" s="19">
        <v>2.98678504999626E-2</v>
      </c>
      <c r="M22" s="19"/>
      <c r="N22" s="19">
        <v>0</v>
      </c>
      <c r="O22" s="19">
        <v>3.35963674736885E-3</v>
      </c>
      <c r="P22" s="19">
        <v>2.1819414936233999E-2</v>
      </c>
      <c r="Q22" s="19">
        <v>4.2638446097823399E-2</v>
      </c>
      <c r="R22" s="19">
        <v>1.7781439961036101E-2</v>
      </c>
      <c r="S22" s="19">
        <v>1.9228806417896101E-2</v>
      </c>
      <c r="T22" s="19">
        <v>9.1686703696262899E-3</v>
      </c>
      <c r="U22" s="19">
        <v>1.4126053269189099E-2</v>
      </c>
      <c r="V22" s="19">
        <v>1.8671676079281802E-2</v>
      </c>
      <c r="W22" s="19"/>
      <c r="X22" s="19">
        <v>9.9358924303297094E-3</v>
      </c>
      <c r="Y22" s="19">
        <v>2.48015025420118E-2</v>
      </c>
    </row>
    <row r="23" spans="2:25" x14ac:dyDescent="0.35">
      <c r="B23" s="16"/>
    </row>
    <row r="24" spans="2:25" x14ac:dyDescent="0.35">
      <c r="B24" t="s">
        <v>51</v>
      </c>
    </row>
    <row r="25" spans="2:25" x14ac:dyDescent="0.35">
      <c r="B25" t="s">
        <v>52</v>
      </c>
    </row>
    <row r="27" spans="2:25" x14ac:dyDescent="0.35">
      <c r="B27" s="8" t="str">
        <f>HYPERLINK("#'Contents'!A1", "Return to Contents")</f>
        <v>Return to Contents</v>
      </c>
    </row>
  </sheetData>
  <mergeCells count="5">
    <mergeCell ref="D5:E5"/>
    <mergeCell ref="G5:L5"/>
    <mergeCell ref="N5:V5"/>
    <mergeCell ref="X5:Y5"/>
    <mergeCell ref="D2:W2"/>
  </mergeCells>
  <pageMargins left="0.7" right="0.7" top="0.75" bottom="0.75" header="0.3" footer="0.3"/>
  <pageSetup paperSize="9" orientation="portrait" horizontalDpi="300" verticalDpi="300"/>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B2:Y2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s>
  <sheetData>
    <row r="2" spans="2:25" ht="40" customHeight="1" x14ac:dyDescent="0.35">
      <c r="D2" s="30" t="s">
        <v>155</v>
      </c>
      <c r="E2" s="26"/>
      <c r="F2" s="26"/>
      <c r="G2" s="26"/>
      <c r="H2" s="26"/>
      <c r="I2" s="26"/>
      <c r="J2" s="26"/>
      <c r="K2" s="26"/>
      <c r="L2" s="26"/>
      <c r="M2" s="26"/>
      <c r="N2" s="26"/>
      <c r="O2" s="26"/>
      <c r="P2" s="26"/>
      <c r="Q2" s="26"/>
      <c r="R2" s="26"/>
      <c r="S2" s="26"/>
      <c r="T2" s="26"/>
      <c r="U2" s="26"/>
      <c r="V2" s="26"/>
      <c r="W2" s="26"/>
    </row>
    <row r="5" spans="2:25" ht="30" customHeight="1" x14ac:dyDescent="0.35">
      <c r="B5" s="15"/>
      <c r="C5" s="15"/>
      <c r="D5" s="29" t="s">
        <v>38</v>
      </c>
      <c r="E5" s="29"/>
      <c r="F5" s="15"/>
      <c r="G5" s="29" t="s">
        <v>39</v>
      </c>
      <c r="H5" s="29"/>
      <c r="I5" s="29"/>
      <c r="J5" s="29"/>
      <c r="K5" s="29"/>
      <c r="L5" s="29"/>
      <c r="M5" s="15"/>
      <c r="N5" s="29" t="s">
        <v>40</v>
      </c>
      <c r="O5" s="29"/>
      <c r="P5" s="29"/>
      <c r="Q5" s="29"/>
      <c r="R5" s="29"/>
      <c r="S5" s="29"/>
      <c r="T5" s="29"/>
      <c r="U5" s="29"/>
      <c r="V5" s="29"/>
      <c r="W5" s="15"/>
      <c r="X5" s="29" t="s">
        <v>41</v>
      </c>
      <c r="Y5" s="29"/>
    </row>
    <row r="6" spans="2:25" ht="29"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row>
    <row r="7" spans="2:25" ht="30" customHeight="1" x14ac:dyDescent="0.35">
      <c r="B7" s="10" t="s">
        <v>19</v>
      </c>
      <c r="C7" s="10">
        <v>6838</v>
      </c>
      <c r="D7" s="10">
        <v>3283</v>
      </c>
      <c r="E7" s="10">
        <v>3541</v>
      </c>
      <c r="F7" s="10"/>
      <c r="G7" s="10">
        <v>635</v>
      </c>
      <c r="H7" s="10">
        <v>1075</v>
      </c>
      <c r="I7" s="10">
        <v>1093</v>
      </c>
      <c r="J7" s="10">
        <v>1228</v>
      </c>
      <c r="K7" s="10">
        <v>1156</v>
      </c>
      <c r="L7" s="10">
        <v>1651</v>
      </c>
      <c r="M7" s="10"/>
      <c r="N7" s="10">
        <v>208</v>
      </c>
      <c r="O7" s="10">
        <v>200</v>
      </c>
      <c r="P7" s="10">
        <v>1002</v>
      </c>
      <c r="Q7" s="10">
        <v>1000</v>
      </c>
      <c r="R7" s="10">
        <v>1004</v>
      </c>
      <c r="S7" s="10">
        <v>1006</v>
      </c>
      <c r="T7" s="10">
        <v>1006</v>
      </c>
      <c r="U7" s="10">
        <v>1007</v>
      </c>
      <c r="V7" s="10">
        <v>405</v>
      </c>
      <c r="W7" s="10"/>
      <c r="X7" s="10">
        <v>2650</v>
      </c>
      <c r="Y7" s="10">
        <v>4188</v>
      </c>
    </row>
    <row r="8" spans="2:25" ht="30" customHeight="1" x14ac:dyDescent="0.35">
      <c r="B8" s="11" t="s">
        <v>20</v>
      </c>
      <c r="C8" s="11">
        <v>6838</v>
      </c>
      <c r="D8" s="11">
        <v>3309</v>
      </c>
      <c r="E8" s="11">
        <v>3515</v>
      </c>
      <c r="F8" s="11"/>
      <c r="G8" s="11">
        <v>645</v>
      </c>
      <c r="H8" s="11">
        <v>1026</v>
      </c>
      <c r="I8" s="11">
        <v>1111</v>
      </c>
      <c r="J8" s="11">
        <v>1184</v>
      </c>
      <c r="K8" s="11">
        <v>1140</v>
      </c>
      <c r="L8" s="11">
        <v>1732</v>
      </c>
      <c r="M8" s="11"/>
      <c r="N8" s="11">
        <v>208</v>
      </c>
      <c r="O8" s="11">
        <v>200</v>
      </c>
      <c r="P8" s="11">
        <v>1002</v>
      </c>
      <c r="Q8" s="11">
        <v>1000</v>
      </c>
      <c r="R8" s="11">
        <v>1004</v>
      </c>
      <c r="S8" s="11">
        <v>1006</v>
      </c>
      <c r="T8" s="11">
        <v>1006</v>
      </c>
      <c r="U8" s="11">
        <v>1007</v>
      </c>
      <c r="V8" s="11">
        <v>405</v>
      </c>
      <c r="W8" s="11"/>
      <c r="X8" s="11">
        <v>2436</v>
      </c>
      <c r="Y8" s="11">
        <v>4402</v>
      </c>
    </row>
    <row r="9" spans="2:25" x14ac:dyDescent="0.35">
      <c r="B9" s="18" t="s">
        <v>147</v>
      </c>
      <c r="C9" s="17">
        <v>0.26657725902315998</v>
      </c>
      <c r="D9" s="17">
        <v>0.25939197483639898</v>
      </c>
      <c r="E9" s="17">
        <v>0.27329377083553402</v>
      </c>
      <c r="F9" s="17"/>
      <c r="G9" s="17">
        <v>0.29884163238619199</v>
      </c>
      <c r="H9" s="17">
        <v>0.28248244727171901</v>
      </c>
      <c r="I9" s="17">
        <v>0.28114488809903398</v>
      </c>
      <c r="J9" s="17">
        <v>0.245050149160873</v>
      </c>
      <c r="K9" s="17">
        <v>0.254932714985037</v>
      </c>
      <c r="L9" s="17">
        <v>0.25818529332173901</v>
      </c>
      <c r="M9" s="17"/>
      <c r="N9" s="17">
        <v>0.15365822354908401</v>
      </c>
      <c r="O9" s="17">
        <v>0.217642971708217</v>
      </c>
      <c r="P9" s="17">
        <v>0.32800269385383901</v>
      </c>
      <c r="Q9" s="17">
        <v>0.197574957973532</v>
      </c>
      <c r="R9" s="17">
        <v>0.25124699161714498</v>
      </c>
      <c r="S9" s="17">
        <v>0.204309705417976</v>
      </c>
      <c r="T9" s="17">
        <v>0.28941002214502898</v>
      </c>
      <c r="U9" s="17">
        <v>0.36747467377033</v>
      </c>
      <c r="V9" s="17">
        <v>0.25222497073264299</v>
      </c>
      <c r="W9" s="17"/>
      <c r="X9" s="17">
        <v>0.28455425048684502</v>
      </c>
      <c r="Y9" s="17">
        <v>0.25662939371075599</v>
      </c>
    </row>
    <row r="10" spans="2:25" x14ac:dyDescent="0.35">
      <c r="B10" s="18" t="s">
        <v>141</v>
      </c>
      <c r="C10" s="17">
        <v>0.21455515520201901</v>
      </c>
      <c r="D10" s="17">
        <v>0.220652782453758</v>
      </c>
      <c r="E10" s="17">
        <v>0.208301661764797</v>
      </c>
      <c r="F10" s="17"/>
      <c r="G10" s="17">
        <v>0.284109451204625</v>
      </c>
      <c r="H10" s="17">
        <v>0.21589123285555301</v>
      </c>
      <c r="I10" s="17">
        <v>0.21838607466326801</v>
      </c>
      <c r="J10" s="17">
        <v>0.213525222256956</v>
      </c>
      <c r="K10" s="17">
        <v>0.19286526624307701</v>
      </c>
      <c r="L10" s="17">
        <v>0.20040296921189599</v>
      </c>
      <c r="M10" s="17"/>
      <c r="N10" s="17">
        <v>0.125923923949182</v>
      </c>
      <c r="O10" s="17">
        <v>0.16828948721357501</v>
      </c>
      <c r="P10" s="17">
        <v>0.248914621728418</v>
      </c>
      <c r="Q10" s="17">
        <v>0.13936763318991799</v>
      </c>
      <c r="R10" s="17">
        <v>0.26589959291595</v>
      </c>
      <c r="S10" s="17">
        <v>0.18144290559017001</v>
      </c>
      <c r="T10" s="17">
        <v>0.20731285226389701</v>
      </c>
      <c r="U10" s="17">
        <v>0.293702977275142</v>
      </c>
      <c r="V10" s="17">
        <v>0.15972249797677601</v>
      </c>
      <c r="W10" s="17"/>
      <c r="X10" s="17">
        <v>0.18727872834616099</v>
      </c>
      <c r="Y10" s="17">
        <v>0.229649016770227</v>
      </c>
    </row>
    <row r="11" spans="2:25" ht="29" x14ac:dyDescent="0.35">
      <c r="B11" s="18" t="s">
        <v>142</v>
      </c>
      <c r="C11" s="17">
        <v>0.185526831363549</v>
      </c>
      <c r="D11" s="17">
        <v>0.18963888203024701</v>
      </c>
      <c r="E11" s="17">
        <v>0.18239811348518101</v>
      </c>
      <c r="F11" s="17"/>
      <c r="G11" s="17">
        <v>0.231310956641962</v>
      </c>
      <c r="H11" s="17">
        <v>0.187492881222627</v>
      </c>
      <c r="I11" s="17">
        <v>0.18549172248009599</v>
      </c>
      <c r="J11" s="17">
        <v>0.210728414043415</v>
      </c>
      <c r="K11" s="17">
        <v>0.15921631824976201</v>
      </c>
      <c r="L11" s="17">
        <v>0.16744368232353499</v>
      </c>
      <c r="M11" s="17"/>
      <c r="N11" s="17">
        <v>9.2714486017245898E-2</v>
      </c>
      <c r="O11" s="17">
        <v>0.115851571207801</v>
      </c>
      <c r="P11" s="17">
        <v>0.205715394677912</v>
      </c>
      <c r="Q11" s="17">
        <v>0.114161732402358</v>
      </c>
      <c r="R11" s="17">
        <v>0.26245597938730902</v>
      </c>
      <c r="S11" s="17">
        <v>0.143136992499203</v>
      </c>
      <c r="T11" s="17">
        <v>0.19163480674381</v>
      </c>
      <c r="U11" s="17">
        <v>0.25094513349291497</v>
      </c>
      <c r="V11" s="17">
        <v>0.13061976516167501</v>
      </c>
      <c r="W11" s="17"/>
      <c r="X11" s="17">
        <v>0.16788155526606</v>
      </c>
      <c r="Y11" s="17">
        <v>0.195291136496173</v>
      </c>
    </row>
    <row r="12" spans="2:25" ht="29" x14ac:dyDescent="0.35">
      <c r="B12" s="18" t="s">
        <v>146</v>
      </c>
      <c r="C12" s="17">
        <v>0.17075748467684199</v>
      </c>
      <c r="D12" s="17">
        <v>0.17099867610421299</v>
      </c>
      <c r="E12" s="17">
        <v>0.17041914702119701</v>
      </c>
      <c r="F12" s="17"/>
      <c r="G12" s="17">
        <v>0.227581858487265</v>
      </c>
      <c r="H12" s="17">
        <v>0.17824541068622399</v>
      </c>
      <c r="I12" s="17">
        <v>0.19265448865426699</v>
      </c>
      <c r="J12" s="17">
        <v>0.172941502075107</v>
      </c>
      <c r="K12" s="17">
        <v>0.14423468581860599</v>
      </c>
      <c r="L12" s="17">
        <v>0.14709722250677901</v>
      </c>
      <c r="M12" s="17"/>
      <c r="N12" s="17">
        <v>0.12871721663138</v>
      </c>
      <c r="O12" s="17">
        <v>0.131922699107552</v>
      </c>
      <c r="P12" s="17">
        <v>0.161225360944561</v>
      </c>
      <c r="Q12" s="17">
        <v>0.119714869509947</v>
      </c>
      <c r="R12" s="17">
        <v>0.20560569392507799</v>
      </c>
      <c r="S12" s="17">
        <v>0.14018576461877999</v>
      </c>
      <c r="T12" s="17">
        <v>0.162810335865471</v>
      </c>
      <c r="U12" s="17">
        <v>0.26651451044605201</v>
      </c>
      <c r="V12" s="17">
        <v>0.132338203347906</v>
      </c>
      <c r="W12" s="17"/>
      <c r="X12" s="17">
        <v>0.17893243990008301</v>
      </c>
      <c r="Y12" s="17">
        <v>0.16623373810556399</v>
      </c>
    </row>
    <row r="13" spans="2:25" x14ac:dyDescent="0.35">
      <c r="B13" s="18" t="s">
        <v>143</v>
      </c>
      <c r="C13" s="17">
        <v>0.16711341388904399</v>
      </c>
      <c r="D13" s="17">
        <v>0.181721241405946</v>
      </c>
      <c r="E13" s="17">
        <v>0.153483103616085</v>
      </c>
      <c r="F13" s="17"/>
      <c r="G13" s="17">
        <v>0.24333886242161101</v>
      </c>
      <c r="H13" s="17">
        <v>0.214571213075439</v>
      </c>
      <c r="I13" s="17">
        <v>0.19247932635038101</v>
      </c>
      <c r="J13" s="17">
        <v>0.18465760290491501</v>
      </c>
      <c r="K13" s="17">
        <v>0.12589932387769401</v>
      </c>
      <c r="L13" s="17">
        <v>0.109520134578834</v>
      </c>
      <c r="M13" s="17"/>
      <c r="N13" s="17">
        <v>0.104880525000594</v>
      </c>
      <c r="O13" s="17">
        <v>7.5804832589309007E-2</v>
      </c>
      <c r="P13" s="17">
        <v>0.16463314954573299</v>
      </c>
      <c r="Q13" s="17">
        <v>9.5558913105464299E-2</v>
      </c>
      <c r="R13" s="17">
        <v>0.227108894014452</v>
      </c>
      <c r="S13" s="17">
        <v>0.13810718099802599</v>
      </c>
      <c r="T13" s="17">
        <v>0.168267581168381</v>
      </c>
      <c r="U13" s="17">
        <v>0.24005043675559201</v>
      </c>
      <c r="V13" s="17">
        <v>0.16608135644990801</v>
      </c>
      <c r="W13" s="17"/>
      <c r="X13" s="17">
        <v>0.161394492667884</v>
      </c>
      <c r="Y13" s="17">
        <v>0.170278073457097</v>
      </c>
    </row>
    <row r="14" spans="2:25" ht="29" x14ac:dyDescent="0.35">
      <c r="B14" s="18" t="s">
        <v>144</v>
      </c>
      <c r="C14" s="17">
        <v>0.135005695483221</v>
      </c>
      <c r="D14" s="17">
        <v>0.141942324290976</v>
      </c>
      <c r="E14" s="17">
        <v>0.12875943789318001</v>
      </c>
      <c r="F14" s="17"/>
      <c r="G14" s="17">
        <v>0.169598625939444</v>
      </c>
      <c r="H14" s="17">
        <v>0.133998251369156</v>
      </c>
      <c r="I14" s="17">
        <v>0.15844337091869501</v>
      </c>
      <c r="J14" s="17">
        <v>0.140958753861016</v>
      </c>
      <c r="K14" s="17">
        <v>0.125684455622882</v>
      </c>
      <c r="L14" s="17">
        <v>0.109761685784718</v>
      </c>
      <c r="M14" s="17"/>
      <c r="N14" s="17">
        <v>8.1378911442857998E-2</v>
      </c>
      <c r="O14" s="17">
        <v>7.9072609213538897E-2</v>
      </c>
      <c r="P14" s="17">
        <v>0.13247085811404699</v>
      </c>
      <c r="Q14" s="17">
        <v>9.30418975621667E-2</v>
      </c>
      <c r="R14" s="17">
        <v>0.17577663572942701</v>
      </c>
      <c r="S14" s="17">
        <v>0.101319590826817</v>
      </c>
      <c r="T14" s="17">
        <v>0.150825309108367</v>
      </c>
      <c r="U14" s="17">
        <v>0.19006084856990699</v>
      </c>
      <c r="V14" s="17">
        <v>0.106471917980166</v>
      </c>
      <c r="W14" s="17"/>
      <c r="X14" s="17">
        <v>0.123503577551677</v>
      </c>
      <c r="Y14" s="17">
        <v>0.14137058252349899</v>
      </c>
    </row>
    <row r="15" spans="2:25" x14ac:dyDescent="0.35">
      <c r="B15" s="18" t="s">
        <v>148</v>
      </c>
      <c r="C15" s="17">
        <v>0.133193050587819</v>
      </c>
      <c r="D15" s="17">
        <v>0.15151932312118899</v>
      </c>
      <c r="E15" s="17">
        <v>0.115826247072913</v>
      </c>
      <c r="F15" s="17"/>
      <c r="G15" s="17">
        <v>0.16453749555957101</v>
      </c>
      <c r="H15" s="17">
        <v>0.173929996217526</v>
      </c>
      <c r="I15" s="17">
        <v>0.157408584740763</v>
      </c>
      <c r="J15" s="17">
        <v>0.12039952526532199</v>
      </c>
      <c r="K15" s="17">
        <v>0.10742691470285801</v>
      </c>
      <c r="L15" s="17">
        <v>0.107581750480921</v>
      </c>
      <c r="M15" s="17"/>
      <c r="N15" s="17">
        <v>0.109800272165416</v>
      </c>
      <c r="O15" s="17">
        <v>5.59429382735806E-2</v>
      </c>
      <c r="P15" s="17">
        <v>0.16017388578880601</v>
      </c>
      <c r="Q15" s="17">
        <v>6.0198318952039302E-2</v>
      </c>
      <c r="R15" s="17">
        <v>0.17462014216552599</v>
      </c>
      <c r="S15" s="17">
        <v>9.7027134537624599E-2</v>
      </c>
      <c r="T15" s="17">
        <v>0.163471977176261</v>
      </c>
      <c r="U15" s="17">
        <v>0.17015832507992501</v>
      </c>
      <c r="V15" s="17">
        <v>0.116850174489179</v>
      </c>
      <c r="W15" s="17"/>
      <c r="X15" s="17">
        <v>0.157394921873694</v>
      </c>
      <c r="Y15" s="17">
        <v>0.11980054515406</v>
      </c>
    </row>
    <row r="16" spans="2:25" x14ac:dyDescent="0.35">
      <c r="B16" s="18" t="s">
        <v>150</v>
      </c>
      <c r="C16" s="17">
        <v>0.130961225189409</v>
      </c>
      <c r="D16" s="17">
        <v>0.13485746737264501</v>
      </c>
      <c r="E16" s="17">
        <v>0.127012879110765</v>
      </c>
      <c r="F16" s="17"/>
      <c r="G16" s="17">
        <v>0.20712888457972201</v>
      </c>
      <c r="H16" s="17">
        <v>0.168190283144006</v>
      </c>
      <c r="I16" s="17">
        <v>0.15143373772001101</v>
      </c>
      <c r="J16" s="17">
        <v>0.113851052811689</v>
      </c>
      <c r="K16" s="17">
        <v>9.3765783575576203E-2</v>
      </c>
      <c r="L16" s="17">
        <v>0.103619467705797</v>
      </c>
      <c r="M16" s="17"/>
      <c r="N16" s="17">
        <v>0.12780135666084499</v>
      </c>
      <c r="O16" s="17">
        <v>0.13714227646988</v>
      </c>
      <c r="P16" s="17">
        <v>0.119225868051916</v>
      </c>
      <c r="Q16" s="17">
        <v>6.9540519973248893E-2</v>
      </c>
      <c r="R16" s="17">
        <v>0.130931620535233</v>
      </c>
      <c r="S16" s="17">
        <v>0.12827655973882801</v>
      </c>
      <c r="T16" s="17">
        <v>0.15693287758153501</v>
      </c>
      <c r="U16" s="17">
        <v>0.17892697390996601</v>
      </c>
      <c r="V16" s="17">
        <v>0.13318858497650399</v>
      </c>
      <c r="W16" s="17"/>
      <c r="X16" s="17">
        <v>0.147421415878046</v>
      </c>
      <c r="Y16" s="17">
        <v>0.121852706652377</v>
      </c>
    </row>
    <row r="17" spans="2:25" x14ac:dyDescent="0.35">
      <c r="B17" s="18" t="s">
        <v>149</v>
      </c>
      <c r="C17" s="17">
        <v>0.123525489332796</v>
      </c>
      <c r="D17" s="17">
        <v>0.12204038023948401</v>
      </c>
      <c r="E17" s="17">
        <v>0.124889305812638</v>
      </c>
      <c r="F17" s="17"/>
      <c r="G17" s="17">
        <v>0.200468621540108</v>
      </c>
      <c r="H17" s="17">
        <v>0.174191369585071</v>
      </c>
      <c r="I17" s="17">
        <v>0.175423599383733</v>
      </c>
      <c r="J17" s="17">
        <v>0.117461361536494</v>
      </c>
      <c r="K17" s="17">
        <v>8.5815444023268406E-2</v>
      </c>
      <c r="L17" s="17">
        <v>6.0573129510278698E-2</v>
      </c>
      <c r="M17" s="17"/>
      <c r="N17" s="17">
        <v>0.101544452579218</v>
      </c>
      <c r="O17" s="17">
        <v>0.127124889428229</v>
      </c>
      <c r="P17" s="17">
        <v>0.116422939432251</v>
      </c>
      <c r="Q17" s="17">
        <v>6.5808858098198905E-2</v>
      </c>
      <c r="R17" s="17">
        <v>0.15148652146889199</v>
      </c>
      <c r="S17" s="17">
        <v>0.11266676674937801</v>
      </c>
      <c r="T17" s="17">
        <v>0.137752906322226</v>
      </c>
      <c r="U17" s="17">
        <v>0.16768261164986401</v>
      </c>
      <c r="V17" s="17">
        <v>0.10564291365433801</v>
      </c>
      <c r="W17" s="17"/>
      <c r="X17" s="17">
        <v>0.14653889794542199</v>
      </c>
      <c r="Y17" s="17">
        <v>0.11079063935969601</v>
      </c>
    </row>
    <row r="18" spans="2:25" ht="29" x14ac:dyDescent="0.35">
      <c r="B18" s="18" t="s">
        <v>145</v>
      </c>
      <c r="C18" s="17">
        <v>0.119412612948987</v>
      </c>
      <c r="D18" s="17">
        <v>0.123024955414664</v>
      </c>
      <c r="E18" s="17">
        <v>0.115913632173734</v>
      </c>
      <c r="F18" s="17"/>
      <c r="G18" s="17">
        <v>0.16127730594925399</v>
      </c>
      <c r="H18" s="17">
        <v>0.14350791351505801</v>
      </c>
      <c r="I18" s="17">
        <v>0.14082505619699101</v>
      </c>
      <c r="J18" s="17">
        <v>0.13342429643184001</v>
      </c>
      <c r="K18" s="17">
        <v>9.6576041192139195E-2</v>
      </c>
      <c r="L18" s="17">
        <v>8.1290283561235799E-2</v>
      </c>
      <c r="M18" s="17"/>
      <c r="N18" s="17">
        <v>5.2814540785210203E-2</v>
      </c>
      <c r="O18" s="17">
        <v>6.2665020429446203E-2</v>
      </c>
      <c r="P18" s="17">
        <v>0.10737099944054899</v>
      </c>
      <c r="Q18" s="17">
        <v>6.3511919549202503E-2</v>
      </c>
      <c r="R18" s="17">
        <v>0.144914722630441</v>
      </c>
      <c r="S18" s="17">
        <v>9.6255948792277501E-2</v>
      </c>
      <c r="T18" s="17">
        <v>0.122332424569029</v>
      </c>
      <c r="U18" s="17">
        <v>0.20999593425136401</v>
      </c>
      <c r="V18" s="17">
        <v>0.11127695524387</v>
      </c>
      <c r="W18" s="17"/>
      <c r="X18" s="17">
        <v>0.123416275524681</v>
      </c>
      <c r="Y18" s="17">
        <v>0.11719712009859699</v>
      </c>
    </row>
    <row r="19" spans="2:25" x14ac:dyDescent="0.35">
      <c r="B19" s="18" t="s">
        <v>151</v>
      </c>
      <c r="C19" s="17">
        <v>0.10597975596567601</v>
      </c>
      <c r="D19" s="17">
        <v>0.10821391218547199</v>
      </c>
      <c r="E19" s="17">
        <v>0.103486942517743</v>
      </c>
      <c r="F19" s="17"/>
      <c r="G19" s="17">
        <v>0.28704993538546703</v>
      </c>
      <c r="H19" s="17">
        <v>0.17736236240533099</v>
      </c>
      <c r="I19" s="17">
        <v>0.14766957557881699</v>
      </c>
      <c r="J19" s="17">
        <v>0.109069447278713</v>
      </c>
      <c r="K19" s="17">
        <v>3.79542034664812E-2</v>
      </c>
      <c r="L19" s="17">
        <v>1.2260002420505E-2</v>
      </c>
      <c r="M19" s="17"/>
      <c r="N19" s="17">
        <v>7.5138353113503295E-2</v>
      </c>
      <c r="O19" s="17">
        <v>5.7800404813509801E-2</v>
      </c>
      <c r="P19" s="17">
        <v>9.2649293446192396E-2</v>
      </c>
      <c r="Q19" s="17">
        <v>6.8877606808923797E-2</v>
      </c>
      <c r="R19" s="17">
        <v>0.123231987565631</v>
      </c>
      <c r="S19" s="17">
        <v>7.2959550781215299E-2</v>
      </c>
      <c r="T19" s="17">
        <v>0.13151876438483701</v>
      </c>
      <c r="U19" s="17">
        <v>0.159275153854574</v>
      </c>
      <c r="V19" s="17">
        <v>0.11350205811476</v>
      </c>
      <c r="W19" s="17"/>
      <c r="X19" s="17">
        <v>0.117939285806025</v>
      </c>
      <c r="Y19" s="17">
        <v>9.9361752486517907E-2</v>
      </c>
    </row>
    <row r="20" spans="2:25" ht="29" x14ac:dyDescent="0.35">
      <c r="B20" s="18" t="s">
        <v>152</v>
      </c>
      <c r="C20" s="17">
        <v>6.5734069773335596E-2</v>
      </c>
      <c r="D20" s="17">
        <v>7.5540728311219801E-2</v>
      </c>
      <c r="E20" s="17">
        <v>5.6508780259667497E-2</v>
      </c>
      <c r="F20" s="17"/>
      <c r="G20" s="17">
        <v>0.13977311231581699</v>
      </c>
      <c r="H20" s="17">
        <v>0.11406832692126299</v>
      </c>
      <c r="I20" s="17">
        <v>9.1222671376096603E-2</v>
      </c>
      <c r="J20" s="17">
        <v>6.4204672578114394E-2</v>
      </c>
      <c r="K20" s="17">
        <v>4.3140717106520003E-2</v>
      </c>
      <c r="L20" s="17">
        <v>9.1342896986658009E-3</v>
      </c>
      <c r="M20" s="17"/>
      <c r="N20" s="17">
        <v>3.0122352707605E-2</v>
      </c>
      <c r="O20" s="17">
        <v>3.8662131992966198E-2</v>
      </c>
      <c r="P20" s="17">
        <v>4.56315269423926E-2</v>
      </c>
      <c r="Q20" s="17">
        <v>4.5514839383640003E-2</v>
      </c>
      <c r="R20" s="17">
        <v>6.4919988379655597E-2</v>
      </c>
      <c r="S20" s="17">
        <v>5.93630553083987E-2</v>
      </c>
      <c r="T20" s="17">
        <v>0.10435625535564499</v>
      </c>
      <c r="U20" s="17">
        <v>9.0575831679812605E-2</v>
      </c>
      <c r="V20" s="17">
        <v>5.7192361989142598E-2</v>
      </c>
      <c r="W20" s="17"/>
      <c r="X20" s="17">
        <v>9.0659315424175393E-2</v>
      </c>
      <c r="Y20" s="17">
        <v>5.1941273180311102E-2</v>
      </c>
    </row>
    <row r="21" spans="2:25" x14ac:dyDescent="0.35">
      <c r="B21" s="18" t="s">
        <v>153</v>
      </c>
      <c r="C21" s="17">
        <v>5.5265492575369099E-2</v>
      </c>
      <c r="D21" s="17">
        <v>6.61550058253213E-2</v>
      </c>
      <c r="E21" s="17">
        <v>4.4368793511758597E-2</v>
      </c>
      <c r="F21" s="17"/>
      <c r="G21" s="17">
        <v>0.14743608468573999</v>
      </c>
      <c r="H21" s="17">
        <v>9.6755839249236697E-2</v>
      </c>
      <c r="I21" s="17">
        <v>6.0210650605159698E-2</v>
      </c>
      <c r="J21" s="17">
        <v>5.0814125952374799E-2</v>
      </c>
      <c r="K21" s="17">
        <v>2.66673381864313E-2</v>
      </c>
      <c r="L21" s="17">
        <v>1.50964571046374E-2</v>
      </c>
      <c r="M21" s="17"/>
      <c r="N21" s="17">
        <v>4.4879722152604003E-2</v>
      </c>
      <c r="O21" s="17">
        <v>6.4099703859354706E-2</v>
      </c>
      <c r="P21" s="17">
        <v>6.5866481773849406E-2</v>
      </c>
      <c r="Q21" s="17">
        <v>4.4656534989484499E-2</v>
      </c>
      <c r="R21" s="17">
        <v>6.4427083740780003E-2</v>
      </c>
      <c r="S21" s="17">
        <v>4.8177841361327599E-2</v>
      </c>
      <c r="T21" s="17">
        <v>6.0132942132478003E-2</v>
      </c>
      <c r="U21" s="17">
        <v>5.4456322797114098E-2</v>
      </c>
      <c r="V21" s="17">
        <v>4.1019279497962198E-2</v>
      </c>
      <c r="W21" s="17"/>
      <c r="X21" s="17">
        <v>6.1377816903635397E-2</v>
      </c>
      <c r="Y21" s="17">
        <v>5.1883136896658702E-2</v>
      </c>
    </row>
    <row r="22" spans="2:25" x14ac:dyDescent="0.35">
      <c r="B22" s="18" t="s">
        <v>48</v>
      </c>
      <c r="C22" s="19">
        <v>0.38655286652982102</v>
      </c>
      <c r="D22" s="19">
        <v>0.38181680851101502</v>
      </c>
      <c r="E22" s="19">
        <v>0.39169066712136602</v>
      </c>
      <c r="F22" s="19"/>
      <c r="G22" s="19">
        <v>0.21319829979982099</v>
      </c>
      <c r="H22" s="19">
        <v>0.29945233097337098</v>
      </c>
      <c r="I22" s="19">
        <v>0.330707860099621</v>
      </c>
      <c r="J22" s="19">
        <v>0.43546305860624701</v>
      </c>
      <c r="K22" s="19">
        <v>0.45633764391300002</v>
      </c>
      <c r="L22" s="19">
        <v>0.45909391830816398</v>
      </c>
      <c r="M22" s="19"/>
      <c r="N22" s="19">
        <v>0.54490154693860304</v>
      </c>
      <c r="O22" s="19">
        <v>0.50310542141445602</v>
      </c>
      <c r="P22" s="19">
        <v>0.35328379478474398</v>
      </c>
      <c r="Q22" s="19">
        <v>0.49901308101396602</v>
      </c>
      <c r="R22" s="19">
        <v>0.274232649489485</v>
      </c>
      <c r="S22" s="19">
        <v>0.464475645878201</v>
      </c>
      <c r="T22" s="19">
        <v>0.32840041635176698</v>
      </c>
      <c r="U22" s="19">
        <v>0.30170401836494298</v>
      </c>
      <c r="V22" s="19">
        <v>0.49260643632648898</v>
      </c>
      <c r="W22" s="19"/>
      <c r="X22" s="19">
        <v>0.38269209735492699</v>
      </c>
      <c r="Y22" s="19">
        <v>0.38868928695543697</v>
      </c>
    </row>
    <row r="23" spans="2:25" x14ac:dyDescent="0.35">
      <c r="B23" s="16"/>
    </row>
    <row r="24" spans="2:25" x14ac:dyDescent="0.35">
      <c r="B24" t="s">
        <v>51</v>
      </c>
    </row>
    <row r="25" spans="2:25" x14ac:dyDescent="0.35">
      <c r="B25" t="s">
        <v>52</v>
      </c>
    </row>
    <row r="27" spans="2:25" x14ac:dyDescent="0.35">
      <c r="B27" s="8" t="str">
        <f>HYPERLINK("#'Contents'!A1", "Return to Contents")</f>
        <v>Return to Contents</v>
      </c>
    </row>
  </sheetData>
  <mergeCells count="5">
    <mergeCell ref="D5:E5"/>
    <mergeCell ref="G5:L5"/>
    <mergeCell ref="N5:V5"/>
    <mergeCell ref="X5:Y5"/>
    <mergeCell ref="D2:W2"/>
  </mergeCells>
  <pageMargins left="0.7" right="0.7" top="0.75" bottom="0.75" header="0.3" footer="0.3"/>
  <pageSetup paperSize="9" orientation="portrait" horizontalDpi="300" verticalDpi="300"/>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B2:Y20"/>
  <sheetViews>
    <sheetView showGridLines="0" topLeftCell="A7" workbookViewId="0">
      <pane xSplit="2" topLeftCell="C1" activePane="topRight" state="frozen"/>
      <selection pane="topRight" activeCell="B16" sqref="B16"/>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s>
  <sheetData>
    <row r="2" spans="2:25" ht="40" customHeight="1" x14ac:dyDescent="0.35">
      <c r="D2" s="30" t="s">
        <v>163</v>
      </c>
      <c r="E2" s="26"/>
      <c r="F2" s="26"/>
      <c r="G2" s="26"/>
      <c r="H2" s="26"/>
      <c r="I2" s="26"/>
      <c r="J2" s="26"/>
      <c r="K2" s="26"/>
      <c r="L2" s="26"/>
      <c r="M2" s="26"/>
      <c r="N2" s="26"/>
      <c r="O2" s="26"/>
      <c r="P2" s="26"/>
      <c r="Q2" s="26"/>
      <c r="R2" s="26"/>
      <c r="S2" s="26"/>
      <c r="T2" s="26"/>
      <c r="U2" s="26"/>
      <c r="V2" s="26"/>
      <c r="W2" s="26"/>
    </row>
    <row r="5" spans="2:25" ht="30" customHeight="1" x14ac:dyDescent="0.35">
      <c r="B5" s="15"/>
      <c r="C5" s="15"/>
      <c r="D5" s="29" t="s">
        <v>38</v>
      </c>
      <c r="E5" s="29"/>
      <c r="F5" s="15"/>
      <c r="G5" s="29" t="s">
        <v>39</v>
      </c>
      <c r="H5" s="29"/>
      <c r="I5" s="29"/>
      <c r="J5" s="29"/>
      <c r="K5" s="29"/>
      <c r="L5" s="29"/>
      <c r="M5" s="15"/>
      <c r="N5" s="29" t="s">
        <v>40</v>
      </c>
      <c r="O5" s="29"/>
      <c r="P5" s="29"/>
      <c r="Q5" s="29"/>
      <c r="R5" s="29"/>
      <c r="S5" s="29"/>
      <c r="T5" s="29"/>
      <c r="U5" s="29"/>
      <c r="V5" s="29"/>
      <c r="W5" s="15"/>
      <c r="X5" s="29" t="s">
        <v>41</v>
      </c>
      <c r="Y5" s="29"/>
    </row>
    <row r="6" spans="2:25" ht="29"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row>
    <row r="7" spans="2:25" ht="30" customHeight="1" x14ac:dyDescent="0.35">
      <c r="B7" s="10" t="s">
        <v>19</v>
      </c>
      <c r="C7" s="10">
        <v>3716</v>
      </c>
      <c r="D7" s="10">
        <v>1971</v>
      </c>
      <c r="E7" s="10">
        <v>1736</v>
      </c>
      <c r="F7" s="10"/>
      <c r="G7" s="10">
        <v>251</v>
      </c>
      <c r="H7" s="10">
        <v>847</v>
      </c>
      <c r="I7" s="10">
        <v>873</v>
      </c>
      <c r="J7" s="10">
        <v>919</v>
      </c>
      <c r="K7" s="10">
        <v>652</v>
      </c>
      <c r="L7" s="10">
        <v>174</v>
      </c>
      <c r="M7" s="10"/>
      <c r="N7" s="10">
        <v>101</v>
      </c>
      <c r="O7" s="10">
        <v>101</v>
      </c>
      <c r="P7" s="10">
        <v>508</v>
      </c>
      <c r="Q7" s="10">
        <v>536</v>
      </c>
      <c r="R7" s="10">
        <v>488</v>
      </c>
      <c r="S7" s="10">
        <v>546</v>
      </c>
      <c r="T7" s="10">
        <v>648</v>
      </c>
      <c r="U7" s="10">
        <v>573</v>
      </c>
      <c r="V7" s="10">
        <v>215</v>
      </c>
      <c r="W7" s="10"/>
      <c r="X7" s="10">
        <v>1783</v>
      </c>
      <c r="Y7" s="10">
        <v>1933</v>
      </c>
    </row>
    <row r="8" spans="2:25" ht="30" customHeight="1" x14ac:dyDescent="0.35">
      <c r="B8" s="11" t="s">
        <v>20</v>
      </c>
      <c r="C8" s="11">
        <v>3642</v>
      </c>
      <c r="D8" s="11">
        <v>1990</v>
      </c>
      <c r="E8" s="11">
        <v>1643</v>
      </c>
      <c r="F8" s="11"/>
      <c r="G8" s="11">
        <v>263</v>
      </c>
      <c r="H8" s="11">
        <v>804</v>
      </c>
      <c r="I8" s="11">
        <v>885</v>
      </c>
      <c r="J8" s="11">
        <v>875</v>
      </c>
      <c r="K8" s="11">
        <v>630</v>
      </c>
      <c r="L8" s="11">
        <v>185</v>
      </c>
      <c r="M8" s="11"/>
      <c r="N8" s="11">
        <v>106</v>
      </c>
      <c r="O8" s="11">
        <v>95</v>
      </c>
      <c r="P8" s="11">
        <v>509</v>
      </c>
      <c r="Q8" s="11">
        <v>549</v>
      </c>
      <c r="R8" s="11">
        <v>458</v>
      </c>
      <c r="S8" s="11">
        <v>556</v>
      </c>
      <c r="T8" s="11">
        <v>615</v>
      </c>
      <c r="U8" s="11">
        <v>531</v>
      </c>
      <c r="V8" s="11">
        <v>224</v>
      </c>
      <c r="W8" s="11"/>
      <c r="X8" s="11">
        <v>1638</v>
      </c>
      <c r="Y8" s="11">
        <v>2004</v>
      </c>
    </row>
    <row r="9" spans="2:25" ht="72.5" x14ac:dyDescent="0.35">
      <c r="B9" s="18" t="s">
        <v>156</v>
      </c>
      <c r="C9" s="17">
        <v>0.19398305120971401</v>
      </c>
      <c r="D9" s="17">
        <v>0.196077473630931</v>
      </c>
      <c r="E9" s="17">
        <v>0.19079971979818999</v>
      </c>
      <c r="F9" s="17"/>
      <c r="G9" s="17">
        <v>0.20935635633942201</v>
      </c>
      <c r="H9" s="17">
        <v>0.17944869329302099</v>
      </c>
      <c r="I9" s="17">
        <v>0.17831067144429999</v>
      </c>
      <c r="J9" s="17">
        <v>0.20011715091059301</v>
      </c>
      <c r="K9" s="17">
        <v>0.21442369705674399</v>
      </c>
      <c r="L9" s="17">
        <v>0.211610149019204</v>
      </c>
      <c r="M9" s="17"/>
      <c r="N9" s="17">
        <v>0.147222211822501</v>
      </c>
      <c r="O9" s="17">
        <v>0.15200035417444899</v>
      </c>
      <c r="P9" s="17">
        <v>0.209477279708881</v>
      </c>
      <c r="Q9" s="17">
        <v>0.17978825035183499</v>
      </c>
      <c r="R9" s="17">
        <v>0.184961401662286</v>
      </c>
      <c r="S9" s="17">
        <v>0.16534330797074701</v>
      </c>
      <c r="T9" s="17">
        <v>0.237097212231028</v>
      </c>
      <c r="U9" s="17">
        <v>0.21061752238567899</v>
      </c>
      <c r="V9" s="17">
        <v>0.16520836302110301</v>
      </c>
      <c r="W9" s="17"/>
      <c r="X9" s="17">
        <v>0.11321671532835401</v>
      </c>
      <c r="Y9" s="17">
        <v>0.26001825535085199</v>
      </c>
    </row>
    <row r="10" spans="2:25" x14ac:dyDescent="0.35">
      <c r="B10" s="18" t="s">
        <v>157</v>
      </c>
      <c r="C10" s="17">
        <v>0.20833991645866701</v>
      </c>
      <c r="D10" s="17">
        <v>0.18882668666649999</v>
      </c>
      <c r="E10" s="17">
        <v>0.23254815563405401</v>
      </c>
      <c r="F10" s="17"/>
      <c r="G10" s="17">
        <v>0.185230246890948</v>
      </c>
      <c r="H10" s="17">
        <v>0.24248117837503499</v>
      </c>
      <c r="I10" s="17">
        <v>0.18481362111237201</v>
      </c>
      <c r="J10" s="17">
        <v>0.20123072496031799</v>
      </c>
      <c r="K10" s="17">
        <v>0.206203956602143</v>
      </c>
      <c r="L10" s="17">
        <v>0.246379957107457</v>
      </c>
      <c r="M10" s="17"/>
      <c r="N10" s="17">
        <v>0.236018440415451</v>
      </c>
      <c r="O10" s="17">
        <v>0.37729536209815601</v>
      </c>
      <c r="P10" s="17">
        <v>0.17435647709080601</v>
      </c>
      <c r="Q10" s="17">
        <v>0.33443265283742402</v>
      </c>
      <c r="R10" s="17">
        <v>0.132129079347614</v>
      </c>
      <c r="S10" s="17">
        <v>0.28927101331146199</v>
      </c>
      <c r="T10" s="17">
        <v>8.9177688069540295E-2</v>
      </c>
      <c r="U10" s="17">
        <v>0.18258627406735001</v>
      </c>
      <c r="V10" s="17">
        <v>0.23529599385862399</v>
      </c>
      <c r="W10" s="17"/>
      <c r="X10" s="17">
        <v>0.249832702125592</v>
      </c>
      <c r="Y10" s="17">
        <v>0.17441508203353501</v>
      </c>
    </row>
    <row r="11" spans="2:25" x14ac:dyDescent="0.35">
      <c r="B11" s="18" t="s">
        <v>158</v>
      </c>
      <c r="C11" s="17">
        <v>0.214926979136074</v>
      </c>
      <c r="D11" s="17">
        <v>0.22671642847428999</v>
      </c>
      <c r="E11" s="17">
        <v>0.200467328517278</v>
      </c>
      <c r="F11" s="17"/>
      <c r="G11" s="17">
        <v>0.218272172578278</v>
      </c>
      <c r="H11" s="17">
        <v>0.188911127476666</v>
      </c>
      <c r="I11" s="17">
        <v>0.23032469804611999</v>
      </c>
      <c r="J11" s="17">
        <v>0.21677764907448799</v>
      </c>
      <c r="K11" s="17">
        <v>0.229464519363343</v>
      </c>
      <c r="L11" s="17">
        <v>0.19124369803146701</v>
      </c>
      <c r="M11" s="17"/>
      <c r="N11" s="17">
        <v>0.188516412659439</v>
      </c>
      <c r="O11" s="17">
        <v>0.222357547686305</v>
      </c>
      <c r="P11" s="17">
        <v>0.20859126660511201</v>
      </c>
      <c r="Q11" s="17">
        <v>0.21076250704510899</v>
      </c>
      <c r="R11" s="17">
        <v>0.187149211219648</v>
      </c>
      <c r="S11" s="17">
        <v>0.20793133081944601</v>
      </c>
      <c r="T11" s="17">
        <v>0.19077401273542699</v>
      </c>
      <c r="U11" s="17">
        <v>0.25508708786050799</v>
      </c>
      <c r="V11" s="17">
        <v>0.29420922089554702</v>
      </c>
      <c r="W11" s="17"/>
      <c r="X11" s="17">
        <v>0.24425849777306699</v>
      </c>
      <c r="Y11" s="17">
        <v>0.19094529419485601</v>
      </c>
    </row>
    <row r="12" spans="2:25" x14ac:dyDescent="0.35">
      <c r="B12" s="18" t="s">
        <v>159</v>
      </c>
      <c r="C12" s="17">
        <v>0.15181202716790099</v>
      </c>
      <c r="D12" s="17">
        <v>0.16515439528234599</v>
      </c>
      <c r="E12" s="17">
        <v>0.13466622958507801</v>
      </c>
      <c r="F12" s="17"/>
      <c r="G12" s="17">
        <v>0.22054275146337399</v>
      </c>
      <c r="H12" s="17">
        <v>0.17603815854035201</v>
      </c>
      <c r="I12" s="17">
        <v>0.15995111337502599</v>
      </c>
      <c r="J12" s="17">
        <v>0.14002317694491601</v>
      </c>
      <c r="K12" s="17">
        <v>0.108038053319535</v>
      </c>
      <c r="L12" s="17">
        <v>0.114667668833972</v>
      </c>
      <c r="M12" s="17"/>
      <c r="N12" s="17">
        <v>0.114426537288708</v>
      </c>
      <c r="O12" s="17">
        <v>9.0841744606734498E-2</v>
      </c>
      <c r="P12" s="17">
        <v>0.161479894174375</v>
      </c>
      <c r="Q12" s="17">
        <v>0.10079902744859801</v>
      </c>
      <c r="R12" s="17">
        <v>0.182026752521871</v>
      </c>
      <c r="S12" s="17">
        <v>0.141345309167144</v>
      </c>
      <c r="T12" s="17">
        <v>0.18987441422638299</v>
      </c>
      <c r="U12" s="17">
        <v>0.16205421082903601</v>
      </c>
      <c r="V12" s="17">
        <v>0.13368207554902301</v>
      </c>
      <c r="W12" s="17"/>
      <c r="X12" s="17">
        <v>0.173278108574979</v>
      </c>
      <c r="Y12" s="17">
        <v>0.134261186804053</v>
      </c>
    </row>
    <row r="13" spans="2:25" x14ac:dyDescent="0.35">
      <c r="B13" s="18" t="s">
        <v>160</v>
      </c>
      <c r="C13" s="17">
        <v>7.1621909489796506E-2</v>
      </c>
      <c r="D13" s="17">
        <v>8.5267913694880501E-2</v>
      </c>
      <c r="E13" s="17">
        <v>5.5471671383468299E-2</v>
      </c>
      <c r="F13" s="17"/>
      <c r="G13" s="17">
        <v>7.5679125882829101E-2</v>
      </c>
      <c r="H13" s="17">
        <v>8.6049826772434695E-2</v>
      </c>
      <c r="I13" s="17">
        <v>7.33278012323441E-2</v>
      </c>
      <c r="J13" s="17">
        <v>6.15788645333218E-2</v>
      </c>
      <c r="K13" s="17">
        <v>6.2769189355165705E-2</v>
      </c>
      <c r="L13" s="17">
        <v>7.2677881063071506E-2</v>
      </c>
      <c r="M13" s="17"/>
      <c r="N13" s="17">
        <v>0.10816258901296801</v>
      </c>
      <c r="O13" s="17">
        <v>1.28860231694849E-2</v>
      </c>
      <c r="P13" s="17">
        <v>5.92153267679741E-2</v>
      </c>
      <c r="Q13" s="17">
        <v>5.0454123817699398E-2</v>
      </c>
      <c r="R13" s="17">
        <v>9.0223822906741094E-2</v>
      </c>
      <c r="S13" s="17">
        <v>5.33075891782877E-2</v>
      </c>
      <c r="T13" s="17">
        <v>9.5940003056346507E-2</v>
      </c>
      <c r="U13" s="17">
        <v>8.4924177440164506E-2</v>
      </c>
      <c r="V13" s="17">
        <v>6.8334664637015902E-2</v>
      </c>
      <c r="W13" s="17"/>
      <c r="X13" s="17">
        <v>7.3599409619266601E-2</v>
      </c>
      <c r="Y13" s="17">
        <v>7.0005089520019798E-2</v>
      </c>
    </row>
    <row r="14" spans="2:25" x14ac:dyDescent="0.35">
      <c r="B14" s="18" t="s">
        <v>161</v>
      </c>
      <c r="C14" s="17">
        <v>6.9979086542004701E-2</v>
      </c>
      <c r="D14" s="17">
        <v>6.3393655547780203E-2</v>
      </c>
      <c r="E14" s="17">
        <v>7.8332337261743004E-2</v>
      </c>
      <c r="F14" s="17"/>
      <c r="G14" s="17">
        <v>4.3521433476175903E-2</v>
      </c>
      <c r="H14" s="17">
        <v>5.9449027829405997E-2</v>
      </c>
      <c r="I14" s="17">
        <v>7.6051122774254701E-2</v>
      </c>
      <c r="J14" s="17">
        <v>8.23257710008755E-2</v>
      </c>
      <c r="K14" s="17">
        <v>6.0664407437883802E-2</v>
      </c>
      <c r="L14" s="17">
        <v>9.7672536102643204E-2</v>
      </c>
      <c r="M14" s="17"/>
      <c r="N14" s="17">
        <v>8.8250519527689003E-2</v>
      </c>
      <c r="O14" s="17">
        <v>4.5131507426358797E-2</v>
      </c>
      <c r="P14" s="17">
        <v>9.73874054551679E-2</v>
      </c>
      <c r="Q14" s="17">
        <v>3.0099864840451102E-2</v>
      </c>
      <c r="R14" s="17">
        <v>0.12306676829964799</v>
      </c>
      <c r="S14" s="17">
        <v>5.86740153175438E-2</v>
      </c>
      <c r="T14" s="17">
        <v>9.8201421493495297E-2</v>
      </c>
      <c r="U14" s="17">
        <v>4.1732933721829901E-2</v>
      </c>
      <c r="V14" s="17">
        <v>1.6188553106196199E-2</v>
      </c>
      <c r="W14" s="17"/>
      <c r="X14" s="17">
        <v>7.0313865089669705E-2</v>
      </c>
      <c r="Y14" s="17">
        <v>6.9705368915769894E-2</v>
      </c>
    </row>
    <row r="15" spans="2:25" x14ac:dyDescent="0.35">
      <c r="B15" s="18" t="s">
        <v>162</v>
      </c>
      <c r="C15" s="19">
        <v>8.9337029995841699E-2</v>
      </c>
      <c r="D15" s="19">
        <v>7.4563446703272404E-2</v>
      </c>
      <c r="E15" s="19">
        <v>0.10771455782019</v>
      </c>
      <c r="F15" s="19"/>
      <c r="G15" s="19">
        <v>4.7397913368972699E-2</v>
      </c>
      <c r="H15" s="19">
        <v>6.7621987713084794E-2</v>
      </c>
      <c r="I15" s="19">
        <v>9.7220972015583301E-2</v>
      </c>
      <c r="J15" s="19">
        <v>9.7946662575487106E-2</v>
      </c>
      <c r="K15" s="19">
        <v>0.118436176865186</v>
      </c>
      <c r="L15" s="19">
        <v>6.5748109842185001E-2</v>
      </c>
      <c r="M15" s="19"/>
      <c r="N15" s="19">
        <v>0.117403289273245</v>
      </c>
      <c r="O15" s="19">
        <v>9.9487460838511593E-2</v>
      </c>
      <c r="P15" s="19">
        <v>8.9492350197683604E-2</v>
      </c>
      <c r="Q15" s="19">
        <v>9.3663573658883503E-2</v>
      </c>
      <c r="R15" s="19">
        <v>0.100442964042191</v>
      </c>
      <c r="S15" s="19">
        <v>8.41274342353696E-2</v>
      </c>
      <c r="T15" s="19">
        <v>9.8935248187779698E-2</v>
      </c>
      <c r="U15" s="19">
        <v>6.2997793695431695E-2</v>
      </c>
      <c r="V15" s="19">
        <v>8.7081128932490107E-2</v>
      </c>
      <c r="W15" s="19"/>
      <c r="X15" s="19">
        <v>7.5500701489072397E-2</v>
      </c>
      <c r="Y15" s="19">
        <v>0.100649723180914</v>
      </c>
    </row>
    <row r="16" spans="2:25" x14ac:dyDescent="0.35">
      <c r="B16" s="16" t="s">
        <v>534</v>
      </c>
    </row>
    <row r="17" spans="2:2" x14ac:dyDescent="0.35">
      <c r="B17" t="s">
        <v>51</v>
      </c>
    </row>
    <row r="18" spans="2:2" x14ac:dyDescent="0.35">
      <c r="B18" t="s">
        <v>52</v>
      </c>
    </row>
    <row r="20" spans="2:2" x14ac:dyDescent="0.35">
      <c r="B20" s="8" t="str">
        <f>HYPERLINK("#'Contents'!A1", "Return to Contents")</f>
        <v>Return to Contents</v>
      </c>
    </row>
  </sheetData>
  <mergeCells count="5">
    <mergeCell ref="D5:E5"/>
    <mergeCell ref="G5:L5"/>
    <mergeCell ref="N5:V5"/>
    <mergeCell ref="X5:Y5"/>
    <mergeCell ref="D2:W2"/>
  </mergeCells>
  <pageMargins left="0.7" right="0.7" top="0.75" bottom="0.75" header="0.3" footer="0.3"/>
  <pageSetup paperSize="9" orientation="portrait" horizontalDpi="300" verticalDpi="300"/>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B2:T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20" width="20.7265625" customWidth="1"/>
  </cols>
  <sheetData>
    <row r="2" spans="2:20" ht="40" customHeight="1" x14ac:dyDescent="0.35">
      <c r="D2" s="30" t="s">
        <v>182</v>
      </c>
      <c r="E2" s="26"/>
      <c r="F2" s="26"/>
      <c r="G2" s="26"/>
      <c r="H2" s="26"/>
      <c r="I2" s="26"/>
      <c r="J2" s="26"/>
      <c r="K2" s="26"/>
      <c r="L2" s="26"/>
      <c r="M2" s="26"/>
      <c r="N2" s="26"/>
      <c r="O2" s="26"/>
      <c r="P2" s="26"/>
      <c r="Q2" s="26"/>
      <c r="R2" s="26"/>
      <c r="S2" s="26"/>
      <c r="T2" s="26"/>
    </row>
    <row r="6" spans="2:20" ht="50" customHeight="1" x14ac:dyDescent="0.35">
      <c r="B6" s="20" t="s">
        <v>15</v>
      </c>
      <c r="C6" s="20" t="s">
        <v>164</v>
      </c>
      <c r="D6" s="20" t="s">
        <v>165</v>
      </c>
      <c r="E6" s="20" t="s">
        <v>166</v>
      </c>
      <c r="F6" s="20" t="s">
        <v>167</v>
      </c>
      <c r="G6" s="20" t="s">
        <v>168</v>
      </c>
      <c r="H6" s="20" t="s">
        <v>169</v>
      </c>
      <c r="I6" s="20" t="s">
        <v>170</v>
      </c>
      <c r="J6" s="20" t="s">
        <v>171</v>
      </c>
      <c r="K6" s="20" t="s">
        <v>172</v>
      </c>
      <c r="L6" s="20" t="s">
        <v>173</v>
      </c>
      <c r="M6" s="20" t="s">
        <v>174</v>
      </c>
      <c r="N6" s="20" t="s">
        <v>175</v>
      </c>
      <c r="O6" s="20" t="s">
        <v>176</v>
      </c>
      <c r="P6" s="20" t="s">
        <v>177</v>
      </c>
      <c r="Q6" s="20" t="s">
        <v>178</v>
      </c>
      <c r="R6" s="20" t="s">
        <v>179</v>
      </c>
      <c r="S6" s="20" t="s">
        <v>180</v>
      </c>
    </row>
    <row r="7" spans="2:20" x14ac:dyDescent="0.35">
      <c r="B7" s="18" t="s">
        <v>85</v>
      </c>
      <c r="C7" s="17">
        <v>0.73883866730685099</v>
      </c>
      <c r="D7" s="17">
        <v>0.54485053959408802</v>
      </c>
      <c r="E7" s="17">
        <v>0.51405091444487905</v>
      </c>
      <c r="F7" s="17">
        <v>0.54757353065137204</v>
      </c>
      <c r="G7" s="17">
        <v>0.57763535261759802</v>
      </c>
      <c r="H7" s="17">
        <v>0.48272787761509001</v>
      </c>
      <c r="I7" s="17">
        <v>0.42498700034127201</v>
      </c>
      <c r="J7" s="17">
        <v>0.29035913811082498</v>
      </c>
      <c r="K7" s="17">
        <v>0.35833591829217698</v>
      </c>
      <c r="L7" s="17">
        <v>0.32453811278327699</v>
      </c>
      <c r="M7" s="17">
        <v>0.27606043262511598</v>
      </c>
      <c r="N7" s="17">
        <v>0.26773507676122998</v>
      </c>
      <c r="O7" s="17">
        <v>0.18821625002527101</v>
      </c>
      <c r="P7" s="17">
        <v>9.8461760854904504E-2</v>
      </c>
      <c r="Q7" s="17">
        <v>0.100653077551854</v>
      </c>
      <c r="R7" s="17">
        <v>8.9382796054684396E-2</v>
      </c>
      <c r="S7" s="17">
        <v>5.1816101491486501E-2</v>
      </c>
    </row>
    <row r="8" spans="2:20" x14ac:dyDescent="0.35">
      <c r="B8" s="18" t="s">
        <v>86</v>
      </c>
      <c r="C8" s="17">
        <v>0.18880625554293001</v>
      </c>
      <c r="D8" s="17">
        <v>0.31411524993255802</v>
      </c>
      <c r="E8" s="17">
        <v>0.34332542701839303</v>
      </c>
      <c r="F8" s="17">
        <v>0.29647451077100501</v>
      </c>
      <c r="G8" s="17">
        <v>0.27101484721642999</v>
      </c>
      <c r="H8" s="17">
        <v>0.26178791393412598</v>
      </c>
      <c r="I8" s="17">
        <v>0.29211100978658</v>
      </c>
      <c r="J8" s="17">
        <v>0.32011752586106701</v>
      </c>
      <c r="K8" s="17">
        <v>0.31964156769908603</v>
      </c>
      <c r="L8" s="17">
        <v>0.21850920426936399</v>
      </c>
      <c r="M8" s="17">
        <v>0.26999477841687702</v>
      </c>
      <c r="N8" s="17">
        <v>0.25184930465771199</v>
      </c>
      <c r="O8" s="17">
        <v>0.24274434628401201</v>
      </c>
      <c r="P8" s="17">
        <v>0.18644757399484199</v>
      </c>
      <c r="Q8" s="17">
        <v>0.18755705374832499</v>
      </c>
      <c r="R8" s="17">
        <v>0.167109056053108</v>
      </c>
      <c r="S8" s="17">
        <v>0.11091575157026901</v>
      </c>
    </row>
    <row r="9" spans="2:20" ht="29" x14ac:dyDescent="0.35">
      <c r="B9" s="18" t="s">
        <v>181</v>
      </c>
      <c r="C9" s="17">
        <v>4.6089893020222102E-2</v>
      </c>
      <c r="D9" s="17">
        <v>9.2787190069219996E-2</v>
      </c>
      <c r="E9" s="17">
        <v>9.1958365437519896E-2</v>
      </c>
      <c r="F9" s="17">
        <v>9.3133180837162696E-2</v>
      </c>
      <c r="G9" s="17">
        <v>8.8395844847715593E-2</v>
      </c>
      <c r="H9" s="17">
        <v>0.117109159997526</v>
      </c>
      <c r="I9" s="17">
        <v>0.13614139293229199</v>
      </c>
      <c r="J9" s="17">
        <v>0.19575865058908401</v>
      </c>
      <c r="K9" s="17">
        <v>0.14970855076496201</v>
      </c>
      <c r="L9" s="17">
        <v>0.16117290201946</v>
      </c>
      <c r="M9" s="17">
        <v>0.18776144938230099</v>
      </c>
      <c r="N9" s="17">
        <v>0.18999264502718</v>
      </c>
      <c r="O9" s="17">
        <v>0.206136672853314</v>
      </c>
      <c r="P9" s="17">
        <v>0.222510775533732</v>
      </c>
      <c r="Q9" s="17">
        <v>0.204886272724842</v>
      </c>
      <c r="R9" s="17">
        <v>0.181267698520682</v>
      </c>
      <c r="S9" s="17">
        <v>0.19796602479737699</v>
      </c>
    </row>
    <row r="10" spans="2:20" x14ac:dyDescent="0.35">
      <c r="B10" s="18" t="s">
        <v>88</v>
      </c>
      <c r="C10" s="17">
        <v>1.07934855906778E-2</v>
      </c>
      <c r="D10" s="17">
        <v>1.8795865715509501E-2</v>
      </c>
      <c r="E10" s="17">
        <v>2.12133773913393E-2</v>
      </c>
      <c r="F10" s="17">
        <v>2.3482041836929299E-2</v>
      </c>
      <c r="G10" s="17">
        <v>2.5659074898013699E-2</v>
      </c>
      <c r="H10" s="17">
        <v>4.0092956011060901E-2</v>
      </c>
      <c r="I10" s="17">
        <v>6.2236125446208802E-2</v>
      </c>
      <c r="J10" s="17">
        <v>7.0714366999908407E-2</v>
      </c>
      <c r="K10" s="17">
        <v>6.9459996735899504E-2</v>
      </c>
      <c r="L10" s="17">
        <v>6.5032786213663304E-2</v>
      </c>
      <c r="M10" s="17">
        <v>8.0335769152260095E-2</v>
      </c>
      <c r="N10" s="17">
        <v>9.4181852186355497E-2</v>
      </c>
      <c r="O10" s="17">
        <v>0.12564921982761901</v>
      </c>
      <c r="P10" s="17">
        <v>0.14524360493833099</v>
      </c>
      <c r="Q10" s="17">
        <v>0.153297590352693</v>
      </c>
      <c r="R10" s="17">
        <v>0.15149406048967401</v>
      </c>
      <c r="S10" s="17">
        <v>0.153060317920476</v>
      </c>
    </row>
    <row r="11" spans="2:20" x14ac:dyDescent="0.35">
      <c r="B11" s="18" t="s">
        <v>89</v>
      </c>
      <c r="C11" s="17">
        <v>5.71419983577451E-3</v>
      </c>
      <c r="D11" s="17">
        <v>1.11184809811961E-2</v>
      </c>
      <c r="E11" s="17">
        <v>1.2041022760156599E-2</v>
      </c>
      <c r="F11" s="17">
        <v>1.60616992481738E-2</v>
      </c>
      <c r="G11" s="17">
        <v>1.75253477692516E-2</v>
      </c>
      <c r="H11" s="17">
        <v>5.0635406128093398E-2</v>
      </c>
      <c r="I11" s="17">
        <v>4.1543660914047299E-2</v>
      </c>
      <c r="J11" s="17">
        <v>5.7089317175757999E-2</v>
      </c>
      <c r="K11" s="17">
        <v>6.2717244481559201E-2</v>
      </c>
      <c r="L11" s="17">
        <v>8.9296368844201598E-2</v>
      </c>
      <c r="M11" s="17">
        <v>9.1406689456968407E-2</v>
      </c>
      <c r="N11" s="17">
        <v>0.110007431864226</v>
      </c>
      <c r="O11" s="17">
        <v>0.148190125610933</v>
      </c>
      <c r="P11" s="17">
        <v>0.193929073175582</v>
      </c>
      <c r="Q11" s="17">
        <v>0.23244379073160901</v>
      </c>
      <c r="R11" s="17">
        <v>0.28612962060972302</v>
      </c>
      <c r="S11" s="17">
        <v>0.29754315947737697</v>
      </c>
    </row>
    <row r="12" spans="2:20" x14ac:dyDescent="0.35">
      <c r="B12" s="18" t="s">
        <v>69</v>
      </c>
      <c r="C12" s="17">
        <v>9.7574987035440406E-3</v>
      </c>
      <c r="D12" s="17">
        <v>1.83326737074277E-2</v>
      </c>
      <c r="E12" s="17">
        <v>1.7410892947711799E-2</v>
      </c>
      <c r="F12" s="17">
        <v>2.3275036655357399E-2</v>
      </c>
      <c r="G12" s="17">
        <v>1.9769532650991298E-2</v>
      </c>
      <c r="H12" s="17">
        <v>4.76466863141033E-2</v>
      </c>
      <c r="I12" s="17">
        <v>4.29808105795993E-2</v>
      </c>
      <c r="J12" s="17">
        <v>6.5961001263356495E-2</v>
      </c>
      <c r="K12" s="17">
        <v>4.0136722026315297E-2</v>
      </c>
      <c r="L12" s="17">
        <v>0.14145062587003299</v>
      </c>
      <c r="M12" s="17">
        <v>9.4440880966477E-2</v>
      </c>
      <c r="N12" s="17">
        <v>8.6233689503297101E-2</v>
      </c>
      <c r="O12" s="17">
        <v>8.90633853988511E-2</v>
      </c>
      <c r="P12" s="17">
        <v>0.15340721150261</v>
      </c>
      <c r="Q12" s="17">
        <v>0.121162214890676</v>
      </c>
      <c r="R12" s="17">
        <v>0.124616768272129</v>
      </c>
      <c r="S12" s="17">
        <v>0.18869864474301401</v>
      </c>
    </row>
    <row r="13" spans="2:20" x14ac:dyDescent="0.35">
      <c r="B13" s="23" t="s">
        <v>90</v>
      </c>
      <c r="C13" s="21">
        <v>0.92764492284978195</v>
      </c>
      <c r="D13" s="21">
        <v>0.85896578952664604</v>
      </c>
      <c r="E13" s="21">
        <v>0.85737634146327202</v>
      </c>
      <c r="F13" s="21">
        <v>0.84404804142237699</v>
      </c>
      <c r="G13" s="21">
        <v>0.84865019983402801</v>
      </c>
      <c r="H13" s="21">
        <v>0.74451579154921599</v>
      </c>
      <c r="I13" s="21">
        <v>0.71709801012785201</v>
      </c>
      <c r="J13" s="21">
        <v>0.61047666397189304</v>
      </c>
      <c r="K13" s="21">
        <v>0.67797748599126395</v>
      </c>
      <c r="L13" s="21">
        <v>0.54304731705264198</v>
      </c>
      <c r="M13" s="21">
        <v>0.54605521104199295</v>
      </c>
      <c r="N13" s="21">
        <v>0.51958438141894103</v>
      </c>
      <c r="O13" s="21">
        <v>0.43096059630928302</v>
      </c>
      <c r="P13" s="21">
        <v>0.28490933484974601</v>
      </c>
      <c r="Q13" s="21">
        <v>0.28821013130017897</v>
      </c>
      <c r="R13" s="21">
        <v>0.25649185210779202</v>
      </c>
      <c r="S13" s="21">
        <v>0.162731853061756</v>
      </c>
    </row>
    <row r="14" spans="2:20" x14ac:dyDescent="0.35">
      <c r="B14" s="23" t="s">
        <v>91</v>
      </c>
      <c r="C14" s="21">
        <v>1.6507685426452302E-2</v>
      </c>
      <c r="D14" s="21">
        <v>2.9914346696705601E-2</v>
      </c>
      <c r="E14" s="21">
        <v>3.3254400151495798E-2</v>
      </c>
      <c r="F14" s="21">
        <v>3.9543741085103001E-2</v>
      </c>
      <c r="G14" s="21">
        <v>4.3184422667265299E-2</v>
      </c>
      <c r="H14" s="21">
        <v>9.0728362139154306E-2</v>
      </c>
      <c r="I14" s="21">
        <v>0.103779786360256</v>
      </c>
      <c r="J14" s="21">
        <v>0.12780368417566601</v>
      </c>
      <c r="K14" s="21">
        <v>0.132177241217459</v>
      </c>
      <c r="L14" s="21">
        <v>0.15432915505786499</v>
      </c>
      <c r="M14" s="21">
        <v>0.17174245860922899</v>
      </c>
      <c r="N14" s="21">
        <v>0.20418928405058201</v>
      </c>
      <c r="O14" s="21">
        <v>0.27383934543855198</v>
      </c>
      <c r="P14" s="21">
        <v>0.339172678113912</v>
      </c>
      <c r="Q14" s="21">
        <v>0.385741381084302</v>
      </c>
      <c r="R14" s="21">
        <v>0.43762368109939698</v>
      </c>
      <c r="S14" s="21">
        <v>0.450603477397853</v>
      </c>
    </row>
    <row r="15" spans="2:20" x14ac:dyDescent="0.35">
      <c r="B15" s="23" t="s">
        <v>92</v>
      </c>
      <c r="C15" s="22">
        <v>0.91113723742332897</v>
      </c>
      <c r="D15" s="22">
        <v>0.82905144282994103</v>
      </c>
      <c r="E15" s="22">
        <v>0.82412194131177696</v>
      </c>
      <c r="F15" s="22">
        <v>0.80450430033727405</v>
      </c>
      <c r="G15" s="22">
        <v>0.80546577716676204</v>
      </c>
      <c r="H15" s="22">
        <v>0.65378742941006096</v>
      </c>
      <c r="I15" s="22">
        <v>0.61331822376759604</v>
      </c>
      <c r="J15" s="22">
        <v>0.48267297979622598</v>
      </c>
      <c r="K15" s="22">
        <v>0.54580024477380495</v>
      </c>
      <c r="L15" s="22">
        <v>0.38871816199477699</v>
      </c>
      <c r="M15" s="22">
        <v>0.37431275243276402</v>
      </c>
      <c r="N15" s="22">
        <v>0.31539509736836002</v>
      </c>
      <c r="O15" s="22">
        <v>0.15712125087073001</v>
      </c>
      <c r="P15" s="22">
        <v>-5.4263343264166403E-2</v>
      </c>
      <c r="Q15" s="22">
        <v>-9.7531249784122906E-2</v>
      </c>
      <c r="R15" s="22">
        <v>-0.18113182899160399</v>
      </c>
      <c r="S15" s="22">
        <v>-0.28787162433609798</v>
      </c>
    </row>
    <row r="16" spans="2:20" x14ac:dyDescent="0.35">
      <c r="B16" s="16"/>
      <c r="C16" s="16"/>
      <c r="D16" s="16"/>
      <c r="E16" s="16"/>
      <c r="F16" s="16"/>
      <c r="G16" s="16"/>
      <c r="H16" s="16"/>
      <c r="I16" s="16"/>
      <c r="J16" s="16"/>
      <c r="K16" s="16"/>
      <c r="L16" s="16"/>
      <c r="M16" s="16"/>
      <c r="N16" s="16"/>
      <c r="O16" s="16"/>
      <c r="P16" s="16"/>
      <c r="Q16" s="16"/>
      <c r="R16" s="16"/>
      <c r="S16" s="16"/>
    </row>
    <row r="17" spans="2:2" x14ac:dyDescent="0.35">
      <c r="B17" t="s">
        <v>51</v>
      </c>
    </row>
    <row r="18" spans="2:2" x14ac:dyDescent="0.35">
      <c r="B18" t="s">
        <v>52</v>
      </c>
    </row>
    <row r="22" spans="2:2" x14ac:dyDescent="0.35">
      <c r="B22" s="8" t="str">
        <f>HYPERLINK("#'Contents'!A1", "Return to Contents")</f>
        <v>Return to Contents</v>
      </c>
    </row>
  </sheetData>
  <mergeCells count="1">
    <mergeCell ref="D2:T2"/>
  </mergeCells>
  <pageMargins left="0.7" right="0.7" top="0.75" bottom="0.75" header="0.3" footer="0.3"/>
  <pageSetup paperSize="9" orientation="portrait" horizontalDpi="300" verticalDpi="300"/>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B2:Y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s>
  <sheetData>
    <row r="2" spans="2:25" ht="40" customHeight="1" x14ac:dyDescent="0.35">
      <c r="D2" s="30" t="s">
        <v>183</v>
      </c>
      <c r="E2" s="26"/>
      <c r="F2" s="26"/>
      <c r="G2" s="26"/>
      <c r="H2" s="26"/>
      <c r="I2" s="26"/>
      <c r="J2" s="26"/>
      <c r="K2" s="26"/>
      <c r="L2" s="26"/>
      <c r="M2" s="26"/>
      <c r="N2" s="26"/>
      <c r="O2" s="26"/>
      <c r="P2" s="26"/>
      <c r="Q2" s="26"/>
      <c r="R2" s="26"/>
      <c r="S2" s="26"/>
      <c r="T2" s="26"/>
      <c r="U2" s="26"/>
      <c r="V2" s="26"/>
      <c r="W2" s="26"/>
    </row>
    <row r="5" spans="2:25" ht="30" customHeight="1" x14ac:dyDescent="0.35">
      <c r="B5" s="15"/>
      <c r="C5" s="15"/>
      <c r="D5" s="29" t="s">
        <v>38</v>
      </c>
      <c r="E5" s="29"/>
      <c r="F5" s="15"/>
      <c r="G5" s="29" t="s">
        <v>39</v>
      </c>
      <c r="H5" s="29"/>
      <c r="I5" s="29"/>
      <c r="J5" s="29"/>
      <c r="K5" s="29"/>
      <c r="L5" s="29"/>
      <c r="M5" s="15"/>
      <c r="N5" s="29" t="s">
        <v>40</v>
      </c>
      <c r="O5" s="29"/>
      <c r="P5" s="29"/>
      <c r="Q5" s="29"/>
      <c r="R5" s="29"/>
      <c r="S5" s="29"/>
      <c r="T5" s="29"/>
      <c r="U5" s="29"/>
      <c r="V5" s="29"/>
      <c r="W5" s="15"/>
      <c r="X5" s="29" t="s">
        <v>41</v>
      </c>
      <c r="Y5" s="29"/>
    </row>
    <row r="6" spans="2:25" ht="29"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row>
    <row r="7" spans="2:25" ht="30" customHeight="1" x14ac:dyDescent="0.35">
      <c r="B7" s="10" t="s">
        <v>19</v>
      </c>
      <c r="C7" s="10">
        <v>6838</v>
      </c>
      <c r="D7" s="10">
        <v>3283</v>
      </c>
      <c r="E7" s="10">
        <v>3541</v>
      </c>
      <c r="F7" s="10"/>
      <c r="G7" s="10">
        <v>635</v>
      </c>
      <c r="H7" s="10">
        <v>1075</v>
      </c>
      <c r="I7" s="10">
        <v>1093</v>
      </c>
      <c r="J7" s="10">
        <v>1228</v>
      </c>
      <c r="K7" s="10">
        <v>1156</v>
      </c>
      <c r="L7" s="10">
        <v>1651</v>
      </c>
      <c r="M7" s="10"/>
      <c r="N7" s="10">
        <v>208</v>
      </c>
      <c r="O7" s="10">
        <v>200</v>
      </c>
      <c r="P7" s="10">
        <v>1002</v>
      </c>
      <c r="Q7" s="10">
        <v>1000</v>
      </c>
      <c r="R7" s="10">
        <v>1004</v>
      </c>
      <c r="S7" s="10">
        <v>1006</v>
      </c>
      <c r="T7" s="10">
        <v>1006</v>
      </c>
      <c r="U7" s="10">
        <v>1007</v>
      </c>
      <c r="V7" s="10">
        <v>405</v>
      </c>
      <c r="W7" s="10"/>
      <c r="X7" s="10">
        <v>2650</v>
      </c>
      <c r="Y7" s="10">
        <v>4188</v>
      </c>
    </row>
    <row r="8" spans="2:25" ht="30" customHeight="1" x14ac:dyDescent="0.35">
      <c r="B8" s="11" t="s">
        <v>20</v>
      </c>
      <c r="C8" s="11">
        <v>6838</v>
      </c>
      <c r="D8" s="11">
        <v>3309</v>
      </c>
      <c r="E8" s="11">
        <v>3515</v>
      </c>
      <c r="F8" s="11"/>
      <c r="G8" s="11">
        <v>645</v>
      </c>
      <c r="H8" s="11">
        <v>1026</v>
      </c>
      <c r="I8" s="11">
        <v>1111</v>
      </c>
      <c r="J8" s="11">
        <v>1184</v>
      </c>
      <c r="K8" s="11">
        <v>1140</v>
      </c>
      <c r="L8" s="11">
        <v>1732</v>
      </c>
      <c r="M8" s="11"/>
      <c r="N8" s="11">
        <v>208</v>
      </c>
      <c r="O8" s="11">
        <v>200</v>
      </c>
      <c r="P8" s="11">
        <v>1002</v>
      </c>
      <c r="Q8" s="11">
        <v>1000</v>
      </c>
      <c r="R8" s="11">
        <v>1004</v>
      </c>
      <c r="S8" s="11">
        <v>1006</v>
      </c>
      <c r="T8" s="11">
        <v>1006</v>
      </c>
      <c r="U8" s="11">
        <v>1007</v>
      </c>
      <c r="V8" s="11">
        <v>405</v>
      </c>
      <c r="W8" s="11"/>
      <c r="X8" s="11">
        <v>2436</v>
      </c>
      <c r="Y8" s="11">
        <v>4402</v>
      </c>
    </row>
    <row r="9" spans="2:25" x14ac:dyDescent="0.35">
      <c r="B9" s="18" t="s">
        <v>85</v>
      </c>
      <c r="C9" s="17">
        <v>0.57763535261759802</v>
      </c>
      <c r="D9" s="17">
        <v>0.60021455919431999</v>
      </c>
      <c r="E9" s="17">
        <v>0.55557467850828901</v>
      </c>
      <c r="F9" s="17"/>
      <c r="G9" s="17">
        <v>0.64090454390990104</v>
      </c>
      <c r="H9" s="17">
        <v>0.64193481382634399</v>
      </c>
      <c r="I9" s="17">
        <v>0.60243344146627498</v>
      </c>
      <c r="J9" s="17">
        <v>0.58808292001109097</v>
      </c>
      <c r="K9" s="17">
        <v>0.57598569646041298</v>
      </c>
      <c r="L9" s="17">
        <v>0.49406531329298597</v>
      </c>
      <c r="M9" s="17"/>
      <c r="N9" s="17">
        <v>0.68304462813183797</v>
      </c>
      <c r="O9" s="17">
        <v>0.61660811745266397</v>
      </c>
      <c r="P9" s="17">
        <v>0.512869211853344</v>
      </c>
      <c r="Q9" s="17">
        <v>0.67510933592085998</v>
      </c>
      <c r="R9" s="17">
        <v>0.526400327140358</v>
      </c>
      <c r="S9" s="17">
        <v>0.64559469042945805</v>
      </c>
      <c r="T9" s="17">
        <v>0.60432321763202401</v>
      </c>
      <c r="U9" s="17">
        <v>0.43776044225074801</v>
      </c>
      <c r="V9" s="17">
        <v>0.663514171738256</v>
      </c>
      <c r="W9" s="17"/>
      <c r="X9" s="17">
        <v>0.66826952493969205</v>
      </c>
      <c r="Y9" s="17">
        <v>0.52748143555184401</v>
      </c>
    </row>
    <row r="10" spans="2:25" x14ac:dyDescent="0.35">
      <c r="B10" s="18" t="s">
        <v>86</v>
      </c>
      <c r="C10" s="17">
        <v>0.27101484721642999</v>
      </c>
      <c r="D10" s="17">
        <v>0.26445097879686102</v>
      </c>
      <c r="E10" s="17">
        <v>0.27804574803772603</v>
      </c>
      <c r="F10" s="17"/>
      <c r="G10" s="17">
        <v>0.23888536800906601</v>
      </c>
      <c r="H10" s="17">
        <v>0.25243546024076602</v>
      </c>
      <c r="I10" s="17">
        <v>0.28156119417543701</v>
      </c>
      <c r="J10" s="17">
        <v>0.264379927935668</v>
      </c>
      <c r="K10" s="17">
        <v>0.25970774518971901</v>
      </c>
      <c r="L10" s="17">
        <v>0.299181983064641</v>
      </c>
      <c r="M10" s="17"/>
      <c r="N10" s="17">
        <v>0.22238667473319901</v>
      </c>
      <c r="O10" s="17">
        <v>0.22595407495386399</v>
      </c>
      <c r="P10" s="17">
        <v>0.309142930839927</v>
      </c>
      <c r="Q10" s="17">
        <v>0.20213728391869801</v>
      </c>
      <c r="R10" s="17">
        <v>0.33731937650933103</v>
      </c>
      <c r="S10" s="17">
        <v>0.22252447539246001</v>
      </c>
      <c r="T10" s="17">
        <v>0.23879013070577701</v>
      </c>
      <c r="U10" s="17">
        <v>0.35724870262206698</v>
      </c>
      <c r="V10" s="17">
        <v>0.215686888937654</v>
      </c>
      <c r="W10" s="17"/>
      <c r="X10" s="17">
        <v>0.23178669561078899</v>
      </c>
      <c r="Y10" s="17">
        <v>0.29272239318794602</v>
      </c>
    </row>
    <row r="11" spans="2:25" ht="29" x14ac:dyDescent="0.35">
      <c r="B11" s="18" t="s">
        <v>181</v>
      </c>
      <c r="C11" s="17">
        <v>8.8395844847715593E-2</v>
      </c>
      <c r="D11" s="17">
        <v>8.3289226326393295E-2</v>
      </c>
      <c r="E11" s="17">
        <v>9.3218649992819397E-2</v>
      </c>
      <c r="F11" s="17"/>
      <c r="G11" s="17">
        <v>8.3645961463940696E-2</v>
      </c>
      <c r="H11" s="17">
        <v>7.4672618999197998E-2</v>
      </c>
      <c r="I11" s="17">
        <v>7.9998579155739297E-2</v>
      </c>
      <c r="J11" s="17">
        <v>8.5259708156203304E-2</v>
      </c>
      <c r="K11" s="17">
        <v>8.7634776606003301E-2</v>
      </c>
      <c r="L11" s="17">
        <v>0.10631791673409401</v>
      </c>
      <c r="M11" s="17"/>
      <c r="N11" s="17">
        <v>3.4882802569070497E-2</v>
      </c>
      <c r="O11" s="17">
        <v>6.0528215945212203E-2</v>
      </c>
      <c r="P11" s="17">
        <v>9.5804050127300006E-2</v>
      </c>
      <c r="Q11" s="17">
        <v>6.2601517276326402E-2</v>
      </c>
      <c r="R11" s="17">
        <v>9.1591695300042297E-2</v>
      </c>
      <c r="S11" s="17">
        <v>7.2945896587791395E-2</v>
      </c>
      <c r="T11" s="17">
        <v>0.111406258628669</v>
      </c>
      <c r="U11" s="17">
        <v>0.11728613652449001</v>
      </c>
      <c r="V11" s="17">
        <v>7.6466359832656303E-2</v>
      </c>
      <c r="W11" s="17"/>
      <c r="X11" s="17">
        <v>6.5324398419077001E-2</v>
      </c>
      <c r="Y11" s="17">
        <v>0.10116281100543301</v>
      </c>
    </row>
    <row r="12" spans="2:25" x14ac:dyDescent="0.35">
      <c r="B12" s="18" t="s">
        <v>88</v>
      </c>
      <c r="C12" s="17">
        <v>2.5659074898013699E-2</v>
      </c>
      <c r="D12" s="17">
        <v>2.4306156202019698E-2</v>
      </c>
      <c r="E12" s="17">
        <v>2.6720974220256901E-2</v>
      </c>
      <c r="F12" s="17"/>
      <c r="G12" s="17">
        <v>2.3379599433064901E-2</v>
      </c>
      <c r="H12" s="17">
        <v>2.0606266382535699E-2</v>
      </c>
      <c r="I12" s="17">
        <v>1.47680628977541E-2</v>
      </c>
      <c r="J12" s="17">
        <v>3.0002429675695601E-2</v>
      </c>
      <c r="K12" s="17">
        <v>2.0394761632932398E-2</v>
      </c>
      <c r="L12" s="17">
        <v>3.69816763341487E-2</v>
      </c>
      <c r="M12" s="17"/>
      <c r="N12" s="17">
        <v>2.62132851606822E-2</v>
      </c>
      <c r="O12" s="17">
        <v>7.9859033239601696E-2</v>
      </c>
      <c r="P12" s="17">
        <v>2.8416464304452001E-2</v>
      </c>
      <c r="Q12" s="17">
        <v>2.07127681519216E-2</v>
      </c>
      <c r="R12" s="17">
        <v>2.0738053287162699E-2</v>
      </c>
      <c r="S12" s="17">
        <v>1.76199253261374E-2</v>
      </c>
      <c r="T12" s="17">
        <v>2.0625737568496502E-2</v>
      </c>
      <c r="U12" s="17">
        <v>3.61141267928132E-2</v>
      </c>
      <c r="V12" s="17">
        <v>2.2675187045968201E-2</v>
      </c>
      <c r="W12" s="17"/>
      <c r="X12" s="17">
        <v>2.01505170065184E-2</v>
      </c>
      <c r="Y12" s="17">
        <v>2.87073264411528E-2</v>
      </c>
    </row>
    <row r="13" spans="2:25" x14ac:dyDescent="0.35">
      <c r="B13" s="18" t="s">
        <v>89</v>
      </c>
      <c r="C13" s="17">
        <v>1.75253477692516E-2</v>
      </c>
      <c r="D13" s="17">
        <v>1.42166690962824E-2</v>
      </c>
      <c r="E13" s="17">
        <v>2.0710265953941799E-2</v>
      </c>
      <c r="F13" s="17"/>
      <c r="G13" s="17">
        <v>8.4598149561980005E-3</v>
      </c>
      <c r="H13" s="17">
        <v>1.0217114419984899E-3</v>
      </c>
      <c r="I13" s="17">
        <v>4.7612891803321799E-3</v>
      </c>
      <c r="J13" s="17">
        <v>1.04871454847706E-2</v>
      </c>
      <c r="K13" s="17">
        <v>3.5454604996434901E-2</v>
      </c>
      <c r="L13" s="17">
        <v>3.1864664265353199E-2</v>
      </c>
      <c r="M13" s="17"/>
      <c r="N13" s="17">
        <v>1.9948301598360401E-2</v>
      </c>
      <c r="O13" s="17">
        <v>8.6306365702223092E-3</v>
      </c>
      <c r="P13" s="17">
        <v>2.2849704860769201E-2</v>
      </c>
      <c r="Q13" s="17">
        <v>1.9769443072992599E-2</v>
      </c>
      <c r="R13" s="17">
        <v>6.8464681003160902E-3</v>
      </c>
      <c r="S13" s="17">
        <v>2.1451579668142699E-2</v>
      </c>
      <c r="T13" s="17">
        <v>1.1468924712983899E-2</v>
      </c>
      <c r="U13" s="17">
        <v>2.8411867228138099E-2</v>
      </c>
      <c r="V13" s="17">
        <v>6.65549377108547E-3</v>
      </c>
      <c r="W13" s="17"/>
      <c r="X13" s="17">
        <v>6.1850397172391004E-3</v>
      </c>
      <c r="Y13" s="17">
        <v>2.3800694638636401E-2</v>
      </c>
    </row>
    <row r="14" spans="2:25" x14ac:dyDescent="0.35">
      <c r="B14" s="18" t="s">
        <v>69</v>
      </c>
      <c r="C14" s="17">
        <v>1.9769532650991298E-2</v>
      </c>
      <c r="D14" s="17">
        <v>1.35224103841242E-2</v>
      </c>
      <c r="E14" s="17">
        <v>2.57296832869673E-2</v>
      </c>
      <c r="F14" s="17"/>
      <c r="G14" s="17">
        <v>4.7247122278300498E-3</v>
      </c>
      <c r="H14" s="17">
        <v>9.3291291091582105E-3</v>
      </c>
      <c r="I14" s="17">
        <v>1.6477433124462398E-2</v>
      </c>
      <c r="J14" s="17">
        <v>2.1787868736570799E-2</v>
      </c>
      <c r="K14" s="17">
        <v>2.0822415114497301E-2</v>
      </c>
      <c r="L14" s="17">
        <v>3.1588446308777003E-2</v>
      </c>
      <c r="M14" s="17"/>
      <c r="N14" s="17">
        <v>1.35243078068507E-2</v>
      </c>
      <c r="O14" s="17">
        <v>8.4199218384367405E-3</v>
      </c>
      <c r="P14" s="17">
        <v>3.0917638014207698E-2</v>
      </c>
      <c r="Q14" s="17">
        <v>1.9669651659200999E-2</v>
      </c>
      <c r="R14" s="17">
        <v>1.7104079662790601E-2</v>
      </c>
      <c r="S14" s="17">
        <v>1.98634325960102E-2</v>
      </c>
      <c r="T14" s="17">
        <v>1.33857307520494E-2</v>
      </c>
      <c r="U14" s="17">
        <v>2.31787245817432E-2</v>
      </c>
      <c r="V14" s="17">
        <v>1.50018986743796E-2</v>
      </c>
      <c r="W14" s="17"/>
      <c r="X14" s="17">
        <v>8.2838243066844699E-3</v>
      </c>
      <c r="Y14" s="17">
        <v>2.61253391749879E-2</v>
      </c>
    </row>
    <row r="15" spans="2:25" x14ac:dyDescent="0.35">
      <c r="B15" s="18" t="s">
        <v>90</v>
      </c>
      <c r="C15" s="21">
        <v>0.84865019983402801</v>
      </c>
      <c r="D15" s="21">
        <v>0.86466553799117996</v>
      </c>
      <c r="E15" s="21">
        <v>0.83362042654601498</v>
      </c>
      <c r="F15" s="21"/>
      <c r="G15" s="21">
        <v>0.87978991191896605</v>
      </c>
      <c r="H15" s="21">
        <v>0.89437027406711</v>
      </c>
      <c r="I15" s="21">
        <v>0.88399463564171199</v>
      </c>
      <c r="J15" s="21">
        <v>0.85246284794675997</v>
      </c>
      <c r="K15" s="21">
        <v>0.83569344165013204</v>
      </c>
      <c r="L15" s="21">
        <v>0.79324729635762703</v>
      </c>
      <c r="M15" s="21"/>
      <c r="N15" s="21">
        <v>0.90543130286503604</v>
      </c>
      <c r="O15" s="21">
        <v>0.84256219240652697</v>
      </c>
      <c r="P15" s="21">
        <v>0.82201214269327105</v>
      </c>
      <c r="Q15" s="21">
        <v>0.87724661983955798</v>
      </c>
      <c r="R15" s="21">
        <v>0.86371970364968798</v>
      </c>
      <c r="S15" s="21">
        <v>0.86811916582191795</v>
      </c>
      <c r="T15" s="21">
        <v>0.84311334833780105</v>
      </c>
      <c r="U15" s="21">
        <v>0.79500914487281504</v>
      </c>
      <c r="V15" s="21">
        <v>0.87920106067590997</v>
      </c>
      <c r="W15" s="21"/>
      <c r="X15" s="21">
        <v>0.90005622055048096</v>
      </c>
      <c r="Y15" s="21">
        <v>0.82020382873978903</v>
      </c>
    </row>
    <row r="16" spans="2:25" x14ac:dyDescent="0.35">
      <c r="B16" s="18" t="s">
        <v>91</v>
      </c>
      <c r="C16" s="21">
        <v>4.3184422667265299E-2</v>
      </c>
      <c r="D16" s="21">
        <v>3.8522825298302199E-2</v>
      </c>
      <c r="E16" s="21">
        <v>4.74312401741986E-2</v>
      </c>
      <c r="F16" s="21"/>
      <c r="G16" s="21">
        <v>3.1839414389262903E-2</v>
      </c>
      <c r="H16" s="21">
        <v>2.1627977824534201E-2</v>
      </c>
      <c r="I16" s="21">
        <v>1.9529352078086301E-2</v>
      </c>
      <c r="J16" s="21">
        <v>4.0489575160466203E-2</v>
      </c>
      <c r="K16" s="21">
        <v>5.5849366629367403E-2</v>
      </c>
      <c r="L16" s="21">
        <v>6.8846340599501898E-2</v>
      </c>
      <c r="M16" s="21"/>
      <c r="N16" s="21">
        <v>4.6161586759042701E-2</v>
      </c>
      <c r="O16" s="21">
        <v>8.8489669809824006E-2</v>
      </c>
      <c r="P16" s="21">
        <v>5.1266169165221198E-2</v>
      </c>
      <c r="Q16" s="21">
        <v>4.0482211224914202E-2</v>
      </c>
      <c r="R16" s="21">
        <v>2.75845213874788E-2</v>
      </c>
      <c r="S16" s="21">
        <v>3.90715049942802E-2</v>
      </c>
      <c r="T16" s="21">
        <v>3.2094662281480398E-2</v>
      </c>
      <c r="U16" s="21">
        <v>6.4525994020951299E-2</v>
      </c>
      <c r="V16" s="21">
        <v>2.93306808170536E-2</v>
      </c>
      <c r="W16" s="21"/>
      <c r="X16" s="21">
        <v>2.6335556723757501E-2</v>
      </c>
      <c r="Y16" s="21">
        <v>5.2508021079789198E-2</v>
      </c>
    </row>
    <row r="17" spans="2:25" x14ac:dyDescent="0.35">
      <c r="B17" s="18" t="s">
        <v>92</v>
      </c>
      <c r="C17" s="22">
        <v>0.80546577716676204</v>
      </c>
      <c r="D17" s="22">
        <v>0.82614271269287798</v>
      </c>
      <c r="E17" s="22">
        <v>0.78618918637181601</v>
      </c>
      <c r="F17" s="22"/>
      <c r="G17" s="22">
        <v>0.84795049752970297</v>
      </c>
      <c r="H17" s="22">
        <v>0.87274229624257504</v>
      </c>
      <c r="I17" s="22">
        <v>0.86446528356362595</v>
      </c>
      <c r="J17" s="22">
        <v>0.81197327278629305</v>
      </c>
      <c r="K17" s="22">
        <v>0.77984407502076403</v>
      </c>
      <c r="L17" s="22">
        <v>0.72440095575812502</v>
      </c>
      <c r="M17" s="22"/>
      <c r="N17" s="22">
        <v>0.85926971610599301</v>
      </c>
      <c r="O17" s="22">
        <v>0.75407252259670299</v>
      </c>
      <c r="P17" s="22">
        <v>0.77074597352804997</v>
      </c>
      <c r="Q17" s="22">
        <v>0.83676440861464396</v>
      </c>
      <c r="R17" s="22">
        <v>0.83613518226220995</v>
      </c>
      <c r="S17" s="22">
        <v>0.82904766082763803</v>
      </c>
      <c r="T17" s="22">
        <v>0.81101868605632099</v>
      </c>
      <c r="U17" s="22">
        <v>0.73048315085186399</v>
      </c>
      <c r="V17" s="22">
        <v>0.84987037985885705</v>
      </c>
      <c r="W17" s="22"/>
      <c r="X17" s="22">
        <v>0.87372066382672298</v>
      </c>
      <c r="Y17" s="22">
        <v>0.76769580766000001</v>
      </c>
    </row>
    <row r="18" spans="2:25" x14ac:dyDescent="0.35">
      <c r="B18" s="16"/>
    </row>
    <row r="19" spans="2:25" x14ac:dyDescent="0.35">
      <c r="B19" t="s">
        <v>51</v>
      </c>
    </row>
    <row r="20" spans="2:25" x14ac:dyDescent="0.35">
      <c r="B20" t="s">
        <v>52</v>
      </c>
    </row>
    <row r="22" spans="2:25" x14ac:dyDescent="0.35">
      <c r="B22" s="8" t="str">
        <f>HYPERLINK("#'Contents'!A1", "Return to Contents")</f>
        <v>Return to Contents</v>
      </c>
    </row>
  </sheetData>
  <mergeCells count="5">
    <mergeCell ref="D5:E5"/>
    <mergeCell ref="G5:L5"/>
    <mergeCell ref="N5:V5"/>
    <mergeCell ref="X5:Y5"/>
    <mergeCell ref="D2:W2"/>
  </mergeCells>
  <pageMargins left="0.7" right="0.7" top="0.75" bottom="0.75" header="0.3" footer="0.3"/>
  <pageSetup paperSize="9" orientation="portrait" horizontalDpi="300" verticalDpi="300"/>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B2:Y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s>
  <sheetData>
    <row r="2" spans="2:25" ht="40" customHeight="1" x14ac:dyDescent="0.35">
      <c r="D2" s="30" t="s">
        <v>184</v>
      </c>
      <c r="E2" s="26"/>
      <c r="F2" s="26"/>
      <c r="G2" s="26"/>
      <c r="H2" s="26"/>
      <c r="I2" s="26"/>
      <c r="J2" s="26"/>
      <c r="K2" s="26"/>
      <c r="L2" s="26"/>
      <c r="M2" s="26"/>
      <c r="N2" s="26"/>
      <c r="O2" s="26"/>
      <c r="P2" s="26"/>
      <c r="Q2" s="26"/>
      <c r="R2" s="26"/>
      <c r="S2" s="26"/>
      <c r="T2" s="26"/>
      <c r="U2" s="26"/>
      <c r="V2" s="26"/>
      <c r="W2" s="26"/>
    </row>
    <row r="5" spans="2:25" ht="30" customHeight="1" x14ac:dyDescent="0.35">
      <c r="B5" s="15"/>
      <c r="C5" s="15"/>
      <c r="D5" s="29" t="s">
        <v>38</v>
      </c>
      <c r="E5" s="29"/>
      <c r="F5" s="15"/>
      <c r="G5" s="29" t="s">
        <v>39</v>
      </c>
      <c r="H5" s="29"/>
      <c r="I5" s="29"/>
      <c r="J5" s="29"/>
      <c r="K5" s="29"/>
      <c r="L5" s="29"/>
      <c r="M5" s="15"/>
      <c r="N5" s="29" t="s">
        <v>40</v>
      </c>
      <c r="O5" s="29"/>
      <c r="P5" s="29"/>
      <c r="Q5" s="29"/>
      <c r="R5" s="29"/>
      <c r="S5" s="29"/>
      <c r="T5" s="29"/>
      <c r="U5" s="29"/>
      <c r="V5" s="29"/>
      <c r="W5" s="15"/>
      <c r="X5" s="29" t="s">
        <v>41</v>
      </c>
      <c r="Y5" s="29"/>
    </row>
    <row r="6" spans="2:25" ht="29"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row>
    <row r="7" spans="2:25" ht="30" customHeight="1" x14ac:dyDescent="0.35">
      <c r="B7" s="10" t="s">
        <v>19</v>
      </c>
      <c r="C7" s="10">
        <v>6838</v>
      </c>
      <c r="D7" s="10">
        <v>3283</v>
      </c>
      <c r="E7" s="10">
        <v>3541</v>
      </c>
      <c r="F7" s="10"/>
      <c r="G7" s="10">
        <v>635</v>
      </c>
      <c r="H7" s="10">
        <v>1075</v>
      </c>
      <c r="I7" s="10">
        <v>1093</v>
      </c>
      <c r="J7" s="10">
        <v>1228</v>
      </c>
      <c r="K7" s="10">
        <v>1156</v>
      </c>
      <c r="L7" s="10">
        <v>1651</v>
      </c>
      <c r="M7" s="10"/>
      <c r="N7" s="10">
        <v>208</v>
      </c>
      <c r="O7" s="10">
        <v>200</v>
      </c>
      <c r="P7" s="10">
        <v>1002</v>
      </c>
      <c r="Q7" s="10">
        <v>1000</v>
      </c>
      <c r="R7" s="10">
        <v>1004</v>
      </c>
      <c r="S7" s="10">
        <v>1006</v>
      </c>
      <c r="T7" s="10">
        <v>1006</v>
      </c>
      <c r="U7" s="10">
        <v>1007</v>
      </c>
      <c r="V7" s="10">
        <v>405</v>
      </c>
      <c r="W7" s="10"/>
      <c r="X7" s="10">
        <v>2650</v>
      </c>
      <c r="Y7" s="10">
        <v>4188</v>
      </c>
    </row>
    <row r="8" spans="2:25" ht="30" customHeight="1" x14ac:dyDescent="0.35">
      <c r="B8" s="11" t="s">
        <v>20</v>
      </c>
      <c r="C8" s="11">
        <v>6838</v>
      </c>
      <c r="D8" s="11">
        <v>3309</v>
      </c>
      <c r="E8" s="11">
        <v>3515</v>
      </c>
      <c r="F8" s="11"/>
      <c r="G8" s="11">
        <v>645</v>
      </c>
      <c r="H8" s="11">
        <v>1026</v>
      </c>
      <c r="I8" s="11">
        <v>1111</v>
      </c>
      <c r="J8" s="11">
        <v>1184</v>
      </c>
      <c r="K8" s="11">
        <v>1140</v>
      </c>
      <c r="L8" s="11">
        <v>1732</v>
      </c>
      <c r="M8" s="11"/>
      <c r="N8" s="11">
        <v>208</v>
      </c>
      <c r="O8" s="11">
        <v>200</v>
      </c>
      <c r="P8" s="11">
        <v>1002</v>
      </c>
      <c r="Q8" s="11">
        <v>1000</v>
      </c>
      <c r="R8" s="11">
        <v>1004</v>
      </c>
      <c r="S8" s="11">
        <v>1006</v>
      </c>
      <c r="T8" s="11">
        <v>1006</v>
      </c>
      <c r="U8" s="11">
        <v>1007</v>
      </c>
      <c r="V8" s="11">
        <v>405</v>
      </c>
      <c r="W8" s="11"/>
      <c r="X8" s="11">
        <v>2436</v>
      </c>
      <c r="Y8" s="11">
        <v>4402</v>
      </c>
    </row>
    <row r="9" spans="2:25" x14ac:dyDescent="0.35">
      <c r="B9" s="18" t="s">
        <v>85</v>
      </c>
      <c r="C9" s="17">
        <v>0.29035913811082498</v>
      </c>
      <c r="D9" s="17">
        <v>0.319986904094748</v>
      </c>
      <c r="E9" s="17">
        <v>0.26254902805832903</v>
      </c>
      <c r="F9" s="17"/>
      <c r="G9" s="17">
        <v>0.36400923745488301</v>
      </c>
      <c r="H9" s="17">
        <v>0.363718379144711</v>
      </c>
      <c r="I9" s="17">
        <v>0.32731699467047798</v>
      </c>
      <c r="J9" s="17">
        <v>0.30512835898172502</v>
      </c>
      <c r="K9" s="17">
        <v>0.25004231557469397</v>
      </c>
      <c r="L9" s="17">
        <v>0.21226099041237501</v>
      </c>
      <c r="M9" s="17"/>
      <c r="N9" s="17">
        <v>0.23153921677612299</v>
      </c>
      <c r="O9" s="17">
        <v>0.175132729915146</v>
      </c>
      <c r="P9" s="17">
        <v>0.28633706470863002</v>
      </c>
      <c r="Q9" s="17">
        <v>0.29634749083872503</v>
      </c>
      <c r="R9" s="17">
        <v>0.230255729474898</v>
      </c>
      <c r="S9" s="17">
        <v>0.39346510747838298</v>
      </c>
      <c r="T9" s="17">
        <v>0.29928487809534099</v>
      </c>
      <c r="U9" s="17">
        <v>0.29113451297649001</v>
      </c>
      <c r="V9" s="17">
        <v>0.24142262026</v>
      </c>
      <c r="W9" s="17"/>
      <c r="X9" s="17">
        <v>0.38933756191722202</v>
      </c>
      <c r="Y9" s="17">
        <v>0.23558779158996199</v>
      </c>
    </row>
    <row r="10" spans="2:25" x14ac:dyDescent="0.35">
      <c r="B10" s="18" t="s">
        <v>86</v>
      </c>
      <c r="C10" s="17">
        <v>0.32011752586106701</v>
      </c>
      <c r="D10" s="17">
        <v>0.33899930011944901</v>
      </c>
      <c r="E10" s="17">
        <v>0.30187637123218802</v>
      </c>
      <c r="F10" s="17"/>
      <c r="G10" s="17">
        <v>0.37964716056167402</v>
      </c>
      <c r="H10" s="17">
        <v>0.37021174150534802</v>
      </c>
      <c r="I10" s="17">
        <v>0.34885720379290402</v>
      </c>
      <c r="J10" s="17">
        <v>0.31544424780164598</v>
      </c>
      <c r="K10" s="17">
        <v>0.30370900516551702</v>
      </c>
      <c r="L10" s="17">
        <v>0.26386748507255098</v>
      </c>
      <c r="M10" s="17"/>
      <c r="N10" s="17">
        <v>0.24772447392232499</v>
      </c>
      <c r="O10" s="17">
        <v>0.191338550032817</v>
      </c>
      <c r="P10" s="17">
        <v>0.33130505367134599</v>
      </c>
      <c r="Q10" s="17">
        <v>0.31265680502354698</v>
      </c>
      <c r="R10" s="17">
        <v>0.40738002841929599</v>
      </c>
      <c r="S10" s="17">
        <v>0.29635528318903798</v>
      </c>
      <c r="T10" s="17">
        <v>0.30517237887640902</v>
      </c>
      <c r="U10" s="17">
        <v>0.33820472570668503</v>
      </c>
      <c r="V10" s="17">
        <v>0.24648453603924</v>
      </c>
      <c r="W10" s="17"/>
      <c r="X10" s="17">
        <v>0.33219547043820202</v>
      </c>
      <c r="Y10" s="17">
        <v>0.31343399563039798</v>
      </c>
    </row>
    <row r="11" spans="2:25" ht="29" x14ac:dyDescent="0.35">
      <c r="B11" s="18" t="s">
        <v>181</v>
      </c>
      <c r="C11" s="17">
        <v>0.19575865058908401</v>
      </c>
      <c r="D11" s="17">
        <v>0.18887050597229099</v>
      </c>
      <c r="E11" s="17">
        <v>0.202426461440852</v>
      </c>
      <c r="F11" s="17"/>
      <c r="G11" s="17">
        <v>0.18350366336677601</v>
      </c>
      <c r="H11" s="17">
        <v>0.161110795005665</v>
      </c>
      <c r="I11" s="17">
        <v>0.187158069829122</v>
      </c>
      <c r="J11" s="17">
        <v>0.20920947720049199</v>
      </c>
      <c r="K11" s="17">
        <v>0.203145132014033</v>
      </c>
      <c r="L11" s="17">
        <v>0.212293646641184</v>
      </c>
      <c r="M11" s="17"/>
      <c r="N11" s="17">
        <v>0.204056573479313</v>
      </c>
      <c r="O11" s="17">
        <v>0.20547871452826499</v>
      </c>
      <c r="P11" s="17">
        <v>0.18266997061016199</v>
      </c>
      <c r="Q11" s="17">
        <v>0.220169450522534</v>
      </c>
      <c r="R11" s="17">
        <v>0.20815450552097001</v>
      </c>
      <c r="S11" s="17">
        <v>0.14698779323592401</v>
      </c>
      <c r="T11" s="17">
        <v>0.21477288840261999</v>
      </c>
      <c r="U11" s="17">
        <v>0.19431534312488</v>
      </c>
      <c r="V11" s="17">
        <v>0.20557891769557499</v>
      </c>
      <c r="W11" s="17"/>
      <c r="X11" s="17">
        <v>0.157069499312504</v>
      </c>
      <c r="Y11" s="17">
        <v>0.21716793182104799</v>
      </c>
    </row>
    <row r="12" spans="2:25" x14ac:dyDescent="0.35">
      <c r="B12" s="18" t="s">
        <v>88</v>
      </c>
      <c r="C12" s="17">
        <v>7.0714366999908407E-2</v>
      </c>
      <c r="D12" s="17">
        <v>5.8551201636976503E-2</v>
      </c>
      <c r="E12" s="17">
        <v>8.2447735332011399E-2</v>
      </c>
      <c r="F12" s="17"/>
      <c r="G12" s="17">
        <v>4.0660873443191498E-2</v>
      </c>
      <c r="H12" s="17">
        <v>5.14041788200486E-2</v>
      </c>
      <c r="I12" s="17">
        <v>6.1270234523329803E-2</v>
      </c>
      <c r="J12" s="17">
        <v>6.3165831532460998E-2</v>
      </c>
      <c r="K12" s="17">
        <v>8.0646689835088603E-2</v>
      </c>
      <c r="L12" s="17">
        <v>9.8008618733667494E-2</v>
      </c>
      <c r="M12" s="17"/>
      <c r="N12" s="17">
        <v>0.119497191593133</v>
      </c>
      <c r="O12" s="17">
        <v>0.205130213730711</v>
      </c>
      <c r="P12" s="17">
        <v>6.1199765250118998E-2</v>
      </c>
      <c r="Q12" s="17">
        <v>6.09005874050524E-2</v>
      </c>
      <c r="R12" s="17">
        <v>6.4895614168109697E-2</v>
      </c>
      <c r="S12" s="17">
        <v>4.6902608392034903E-2</v>
      </c>
      <c r="T12" s="17">
        <v>7.9631125213118797E-2</v>
      </c>
      <c r="U12" s="17">
        <v>5.2388855792736798E-2</v>
      </c>
      <c r="V12" s="17">
        <v>0.12404177863539601</v>
      </c>
      <c r="W12" s="17"/>
      <c r="X12" s="17">
        <v>5.4094136128400597E-2</v>
      </c>
      <c r="Y12" s="17">
        <v>7.9911446416940701E-2</v>
      </c>
    </row>
    <row r="13" spans="2:25" x14ac:dyDescent="0.35">
      <c r="B13" s="18" t="s">
        <v>89</v>
      </c>
      <c r="C13" s="17">
        <v>5.7089317175757999E-2</v>
      </c>
      <c r="D13" s="17">
        <v>4.27035600683663E-2</v>
      </c>
      <c r="E13" s="17">
        <v>7.0578522017041304E-2</v>
      </c>
      <c r="F13" s="17"/>
      <c r="G13" s="17">
        <v>1.7344397413745698E-2</v>
      </c>
      <c r="H13" s="17">
        <v>2.02662057264054E-2</v>
      </c>
      <c r="I13" s="17">
        <v>2.7467308809805E-2</v>
      </c>
      <c r="J13" s="17">
        <v>4.6338581837985601E-2</v>
      </c>
      <c r="K13" s="17">
        <v>8.1776438556303094E-2</v>
      </c>
      <c r="L13" s="17">
        <v>0.103777067473466</v>
      </c>
      <c r="M13" s="17"/>
      <c r="N13" s="17">
        <v>9.1565999625463301E-2</v>
      </c>
      <c r="O13" s="17">
        <v>0.13747542519531</v>
      </c>
      <c r="P13" s="17">
        <v>5.7115534726068E-2</v>
      </c>
      <c r="Q13" s="17">
        <v>5.68182692064748E-2</v>
      </c>
      <c r="R13" s="17">
        <v>3.6717605956963599E-2</v>
      </c>
      <c r="S13" s="17">
        <v>4.72880286294017E-2</v>
      </c>
      <c r="T13" s="17">
        <v>4.9283349022739002E-2</v>
      </c>
      <c r="U13" s="17">
        <v>4.3937258738296701E-2</v>
      </c>
      <c r="V13" s="17">
        <v>0.12722913836140701</v>
      </c>
      <c r="W13" s="17"/>
      <c r="X13" s="17">
        <v>3.1454958088930098E-2</v>
      </c>
      <c r="Y13" s="17">
        <v>7.1274513407324602E-2</v>
      </c>
    </row>
    <row r="14" spans="2:25" x14ac:dyDescent="0.35">
      <c r="B14" s="18" t="s">
        <v>69</v>
      </c>
      <c r="C14" s="17">
        <v>6.5961001263356495E-2</v>
      </c>
      <c r="D14" s="17">
        <v>5.0888528108168803E-2</v>
      </c>
      <c r="E14" s="17">
        <v>8.0121881919577406E-2</v>
      </c>
      <c r="F14" s="17"/>
      <c r="G14" s="17">
        <v>1.48346677597291E-2</v>
      </c>
      <c r="H14" s="17">
        <v>3.3288699797821897E-2</v>
      </c>
      <c r="I14" s="17">
        <v>4.79301883743612E-2</v>
      </c>
      <c r="J14" s="17">
        <v>6.0713502645690101E-2</v>
      </c>
      <c r="K14" s="17">
        <v>8.0680418854364694E-2</v>
      </c>
      <c r="L14" s="17">
        <v>0.10979219166675599</v>
      </c>
      <c r="M14" s="17"/>
      <c r="N14" s="17">
        <v>0.105616544603643</v>
      </c>
      <c r="O14" s="17">
        <v>8.5444366597751398E-2</v>
      </c>
      <c r="P14" s="17">
        <v>8.1372611033674505E-2</v>
      </c>
      <c r="Q14" s="17">
        <v>5.31073970036667E-2</v>
      </c>
      <c r="R14" s="17">
        <v>5.2596516459762502E-2</v>
      </c>
      <c r="S14" s="17">
        <v>6.9001179075219202E-2</v>
      </c>
      <c r="T14" s="17">
        <v>5.1855380389772499E-2</v>
      </c>
      <c r="U14" s="17">
        <v>8.0019303660911298E-2</v>
      </c>
      <c r="V14" s="17">
        <v>5.5243009008381097E-2</v>
      </c>
      <c r="W14" s="17"/>
      <c r="X14" s="17">
        <v>3.5848374114741698E-2</v>
      </c>
      <c r="Y14" s="17">
        <v>8.2624321134325801E-2</v>
      </c>
    </row>
    <row r="15" spans="2:25" x14ac:dyDescent="0.35">
      <c r="B15" s="18" t="s">
        <v>90</v>
      </c>
      <c r="C15" s="21">
        <v>0.61047666397189304</v>
      </c>
      <c r="D15" s="21">
        <v>0.65898620421419696</v>
      </c>
      <c r="E15" s="21">
        <v>0.56442539929051805</v>
      </c>
      <c r="F15" s="21"/>
      <c r="G15" s="21">
        <v>0.74365639801655703</v>
      </c>
      <c r="H15" s="21">
        <v>0.73393012065005903</v>
      </c>
      <c r="I15" s="21">
        <v>0.676174198463382</v>
      </c>
      <c r="J15" s="21">
        <v>0.620572606783372</v>
      </c>
      <c r="K15" s="21">
        <v>0.55375132074021005</v>
      </c>
      <c r="L15" s="21">
        <v>0.47612847548492598</v>
      </c>
      <c r="M15" s="21"/>
      <c r="N15" s="21">
        <v>0.47926369069844699</v>
      </c>
      <c r="O15" s="21">
        <v>0.36647127994796302</v>
      </c>
      <c r="P15" s="21">
        <v>0.61764211837997596</v>
      </c>
      <c r="Q15" s="21">
        <v>0.609004295862272</v>
      </c>
      <c r="R15" s="21">
        <v>0.63763575789419402</v>
      </c>
      <c r="S15" s="21">
        <v>0.68982039066741996</v>
      </c>
      <c r="T15" s="21">
        <v>0.60445725697175001</v>
      </c>
      <c r="U15" s="21">
        <v>0.62933923868317598</v>
      </c>
      <c r="V15" s="21">
        <v>0.48790715629923997</v>
      </c>
      <c r="W15" s="21"/>
      <c r="X15" s="21">
        <v>0.72153303235542399</v>
      </c>
      <c r="Y15" s="21">
        <v>0.54902178722035999</v>
      </c>
    </row>
    <row r="16" spans="2:25" x14ac:dyDescent="0.35">
      <c r="B16" s="18" t="s">
        <v>91</v>
      </c>
      <c r="C16" s="21">
        <v>0.12780368417566601</v>
      </c>
      <c r="D16" s="21">
        <v>0.101254761705343</v>
      </c>
      <c r="E16" s="21">
        <v>0.15302625734905301</v>
      </c>
      <c r="F16" s="21"/>
      <c r="G16" s="21">
        <v>5.8005270856937199E-2</v>
      </c>
      <c r="H16" s="21">
        <v>7.1670384546453997E-2</v>
      </c>
      <c r="I16" s="21">
        <v>8.87375433331348E-2</v>
      </c>
      <c r="J16" s="21">
        <v>0.109504413370447</v>
      </c>
      <c r="K16" s="21">
        <v>0.162423128391392</v>
      </c>
      <c r="L16" s="21">
        <v>0.201785686207133</v>
      </c>
      <c r="M16" s="21"/>
      <c r="N16" s="21">
        <v>0.21106319121859601</v>
      </c>
      <c r="O16" s="21">
        <v>0.34260563892602097</v>
      </c>
      <c r="P16" s="21">
        <v>0.11831529997618701</v>
      </c>
      <c r="Q16" s="21">
        <v>0.11771885661152701</v>
      </c>
      <c r="R16" s="21">
        <v>0.101613220125073</v>
      </c>
      <c r="S16" s="21">
        <v>9.4190637021436693E-2</v>
      </c>
      <c r="T16" s="21">
        <v>0.128914474235858</v>
      </c>
      <c r="U16" s="21">
        <v>9.6326114531033499E-2</v>
      </c>
      <c r="V16" s="21">
        <v>0.25127091699680298</v>
      </c>
      <c r="W16" s="21"/>
      <c r="X16" s="21">
        <v>8.5549094217330604E-2</v>
      </c>
      <c r="Y16" s="21">
        <v>0.151185959824265</v>
      </c>
    </row>
    <row r="17" spans="2:25" x14ac:dyDescent="0.35">
      <c r="B17" s="18" t="s">
        <v>92</v>
      </c>
      <c r="C17" s="22">
        <v>0.48267297979622598</v>
      </c>
      <c r="D17" s="22">
        <v>0.55773144250885498</v>
      </c>
      <c r="E17" s="22">
        <v>0.41139914194146499</v>
      </c>
      <c r="F17" s="22"/>
      <c r="G17" s="22">
        <v>0.68565112715961996</v>
      </c>
      <c r="H17" s="22">
        <v>0.662259736103605</v>
      </c>
      <c r="I17" s="22">
        <v>0.58743665513024701</v>
      </c>
      <c r="J17" s="22">
        <v>0.51106819341292498</v>
      </c>
      <c r="K17" s="22">
        <v>0.39132819234881899</v>
      </c>
      <c r="L17" s="22">
        <v>0.27434278927779299</v>
      </c>
      <c r="M17" s="22"/>
      <c r="N17" s="22">
        <v>0.26820049947985097</v>
      </c>
      <c r="O17" s="22">
        <v>2.3865641021941698E-2</v>
      </c>
      <c r="P17" s="22">
        <v>0.49932681840378901</v>
      </c>
      <c r="Q17" s="22">
        <v>0.49128543925074503</v>
      </c>
      <c r="R17" s="22">
        <v>0.53602253776912101</v>
      </c>
      <c r="S17" s="22">
        <v>0.59562975364598403</v>
      </c>
      <c r="T17" s="22">
        <v>0.47554278273589201</v>
      </c>
      <c r="U17" s="22">
        <v>0.53301312415214197</v>
      </c>
      <c r="V17" s="22">
        <v>0.23663623930243699</v>
      </c>
      <c r="W17" s="22"/>
      <c r="X17" s="22">
        <v>0.63598393813809295</v>
      </c>
      <c r="Y17" s="22">
        <v>0.39783582739609502</v>
      </c>
    </row>
    <row r="18" spans="2:25" x14ac:dyDescent="0.35">
      <c r="B18" s="16"/>
    </row>
    <row r="19" spans="2:25" x14ac:dyDescent="0.35">
      <c r="B19" t="s">
        <v>51</v>
      </c>
    </row>
    <row r="20" spans="2:25" x14ac:dyDescent="0.35">
      <c r="B20" t="s">
        <v>52</v>
      </c>
    </row>
    <row r="22" spans="2:25" x14ac:dyDescent="0.35">
      <c r="B22" s="8" t="str">
        <f>HYPERLINK("#'Contents'!A1", "Return to Contents")</f>
        <v>Return to Contents</v>
      </c>
    </row>
  </sheetData>
  <mergeCells count="5">
    <mergeCell ref="D5:E5"/>
    <mergeCell ref="G5:L5"/>
    <mergeCell ref="N5:V5"/>
    <mergeCell ref="X5:Y5"/>
    <mergeCell ref="D2:W2"/>
  </mergeCells>
  <pageMargins left="0.7" right="0.7" top="0.75" bottom="0.75" header="0.3" footer="0.3"/>
  <pageSetup paperSize="9" orientation="portrait" horizontalDpi="300" verticalDpi="300"/>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B2:Y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s>
  <sheetData>
    <row r="2" spans="2:25" ht="40" customHeight="1" x14ac:dyDescent="0.35">
      <c r="D2" s="30" t="s">
        <v>185</v>
      </c>
      <c r="E2" s="26"/>
      <c r="F2" s="26"/>
      <c r="G2" s="26"/>
      <c r="H2" s="26"/>
      <c r="I2" s="26"/>
      <c r="J2" s="26"/>
      <c r="K2" s="26"/>
      <c r="L2" s="26"/>
      <c r="M2" s="26"/>
      <c r="N2" s="26"/>
      <c r="O2" s="26"/>
      <c r="P2" s="26"/>
      <c r="Q2" s="26"/>
      <c r="R2" s="26"/>
      <c r="S2" s="26"/>
      <c r="T2" s="26"/>
      <c r="U2" s="26"/>
      <c r="V2" s="26"/>
      <c r="W2" s="26"/>
    </row>
    <row r="5" spans="2:25" ht="30" customHeight="1" x14ac:dyDescent="0.35">
      <c r="B5" s="15"/>
      <c r="C5" s="15"/>
      <c r="D5" s="29" t="s">
        <v>38</v>
      </c>
      <c r="E5" s="29"/>
      <c r="F5" s="15"/>
      <c r="G5" s="29" t="s">
        <v>39</v>
      </c>
      <c r="H5" s="29"/>
      <c r="I5" s="29"/>
      <c r="J5" s="29"/>
      <c r="K5" s="29"/>
      <c r="L5" s="29"/>
      <c r="M5" s="15"/>
      <c r="N5" s="29" t="s">
        <v>40</v>
      </c>
      <c r="O5" s="29"/>
      <c r="P5" s="29"/>
      <c r="Q5" s="29"/>
      <c r="R5" s="29"/>
      <c r="S5" s="29"/>
      <c r="T5" s="29"/>
      <c r="U5" s="29"/>
      <c r="V5" s="29"/>
      <c r="W5" s="15"/>
      <c r="X5" s="29" t="s">
        <v>41</v>
      </c>
      <c r="Y5" s="29"/>
    </row>
    <row r="6" spans="2:25" ht="29"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row>
    <row r="7" spans="2:25" ht="30" customHeight="1" x14ac:dyDescent="0.35">
      <c r="B7" s="10" t="s">
        <v>19</v>
      </c>
      <c r="C7" s="10">
        <v>6838</v>
      </c>
      <c r="D7" s="10">
        <v>3283</v>
      </c>
      <c r="E7" s="10">
        <v>3541</v>
      </c>
      <c r="F7" s="10"/>
      <c r="G7" s="10">
        <v>635</v>
      </c>
      <c r="H7" s="10">
        <v>1075</v>
      </c>
      <c r="I7" s="10">
        <v>1093</v>
      </c>
      <c r="J7" s="10">
        <v>1228</v>
      </c>
      <c r="K7" s="10">
        <v>1156</v>
      </c>
      <c r="L7" s="10">
        <v>1651</v>
      </c>
      <c r="M7" s="10"/>
      <c r="N7" s="10">
        <v>208</v>
      </c>
      <c r="O7" s="10">
        <v>200</v>
      </c>
      <c r="P7" s="10">
        <v>1002</v>
      </c>
      <c r="Q7" s="10">
        <v>1000</v>
      </c>
      <c r="R7" s="10">
        <v>1004</v>
      </c>
      <c r="S7" s="10">
        <v>1006</v>
      </c>
      <c r="T7" s="10">
        <v>1006</v>
      </c>
      <c r="U7" s="10">
        <v>1007</v>
      </c>
      <c r="V7" s="10">
        <v>405</v>
      </c>
      <c r="W7" s="10"/>
      <c r="X7" s="10">
        <v>2650</v>
      </c>
      <c r="Y7" s="10">
        <v>4188</v>
      </c>
    </row>
    <row r="8" spans="2:25" ht="30" customHeight="1" x14ac:dyDescent="0.35">
      <c r="B8" s="11" t="s">
        <v>20</v>
      </c>
      <c r="C8" s="11">
        <v>6838</v>
      </c>
      <c r="D8" s="11">
        <v>3309</v>
      </c>
      <c r="E8" s="11">
        <v>3515</v>
      </c>
      <c r="F8" s="11"/>
      <c r="G8" s="11">
        <v>645</v>
      </c>
      <c r="H8" s="11">
        <v>1026</v>
      </c>
      <c r="I8" s="11">
        <v>1111</v>
      </c>
      <c r="J8" s="11">
        <v>1184</v>
      </c>
      <c r="K8" s="11">
        <v>1140</v>
      </c>
      <c r="L8" s="11">
        <v>1732</v>
      </c>
      <c r="M8" s="11"/>
      <c r="N8" s="11">
        <v>208</v>
      </c>
      <c r="O8" s="11">
        <v>200</v>
      </c>
      <c r="P8" s="11">
        <v>1002</v>
      </c>
      <c r="Q8" s="11">
        <v>1000</v>
      </c>
      <c r="R8" s="11">
        <v>1004</v>
      </c>
      <c r="S8" s="11">
        <v>1006</v>
      </c>
      <c r="T8" s="11">
        <v>1006</v>
      </c>
      <c r="U8" s="11">
        <v>1007</v>
      </c>
      <c r="V8" s="11">
        <v>405</v>
      </c>
      <c r="W8" s="11"/>
      <c r="X8" s="11">
        <v>2436</v>
      </c>
      <c r="Y8" s="11">
        <v>4402</v>
      </c>
    </row>
    <row r="9" spans="2:25" x14ac:dyDescent="0.35">
      <c r="B9" s="18" t="s">
        <v>85</v>
      </c>
      <c r="C9" s="17">
        <v>0.73883866730685099</v>
      </c>
      <c r="D9" s="17">
        <v>0.73888494171324304</v>
      </c>
      <c r="E9" s="17">
        <v>0.73896010071430196</v>
      </c>
      <c r="F9" s="17"/>
      <c r="G9" s="17">
        <v>0.72694382856692297</v>
      </c>
      <c r="H9" s="17">
        <v>0.72213662915744603</v>
      </c>
      <c r="I9" s="17">
        <v>0.73924791480928997</v>
      </c>
      <c r="J9" s="17">
        <v>0.750494662238818</v>
      </c>
      <c r="K9" s="17">
        <v>0.76541654380019097</v>
      </c>
      <c r="L9" s="17">
        <v>0.72743094936467001</v>
      </c>
      <c r="M9" s="17"/>
      <c r="N9" s="17">
        <v>0.84929642735278199</v>
      </c>
      <c r="O9" s="17">
        <v>0.89853373834281902</v>
      </c>
      <c r="P9" s="17">
        <v>0.66894380547472299</v>
      </c>
      <c r="Q9" s="17">
        <v>0.81503930614300402</v>
      </c>
      <c r="R9" s="17">
        <v>0.68829650156702105</v>
      </c>
      <c r="S9" s="17">
        <v>0.81292419059294896</v>
      </c>
      <c r="T9" s="17">
        <v>0.78959268182669495</v>
      </c>
      <c r="U9" s="17">
        <v>0.56613669005384804</v>
      </c>
      <c r="V9" s="17">
        <v>0.83263233369371803</v>
      </c>
      <c r="W9" s="17"/>
      <c r="X9" s="17">
        <v>0.77016255698304004</v>
      </c>
      <c r="Y9" s="17">
        <v>0.72150507529904495</v>
      </c>
    </row>
    <row r="10" spans="2:25" x14ac:dyDescent="0.35">
      <c r="B10" s="18" t="s">
        <v>86</v>
      </c>
      <c r="C10" s="17">
        <v>0.18880625554293001</v>
      </c>
      <c r="D10" s="17">
        <v>0.185107309986424</v>
      </c>
      <c r="E10" s="17">
        <v>0.19248661483496499</v>
      </c>
      <c r="F10" s="17"/>
      <c r="G10" s="17">
        <v>0.16530126267227799</v>
      </c>
      <c r="H10" s="17">
        <v>0.19932158259323501</v>
      </c>
      <c r="I10" s="17">
        <v>0.181556805930007</v>
      </c>
      <c r="J10" s="17">
        <v>0.17584157028730399</v>
      </c>
      <c r="K10" s="17">
        <v>0.171930908314961</v>
      </c>
      <c r="L10" s="17">
        <v>0.21594591052902801</v>
      </c>
      <c r="M10" s="17"/>
      <c r="N10" s="17">
        <v>9.3397549893925E-2</v>
      </c>
      <c r="O10" s="17">
        <v>8.3000123692235403E-2</v>
      </c>
      <c r="P10" s="17">
        <v>0.24419312429416901</v>
      </c>
      <c r="Q10" s="17">
        <v>0.10830604397324201</v>
      </c>
      <c r="R10" s="17">
        <v>0.248448330825953</v>
      </c>
      <c r="S10" s="17">
        <v>0.138788087958547</v>
      </c>
      <c r="T10" s="17">
        <v>0.16117018916928699</v>
      </c>
      <c r="U10" s="17">
        <v>0.30143356045879799</v>
      </c>
      <c r="V10" s="17">
        <v>0.116788048020509</v>
      </c>
      <c r="W10" s="17"/>
      <c r="X10" s="17">
        <v>0.16559323910503501</v>
      </c>
      <c r="Y10" s="17">
        <v>0.20165156180484201</v>
      </c>
    </row>
    <row r="11" spans="2:25" ht="29" x14ac:dyDescent="0.35">
      <c r="B11" s="18" t="s">
        <v>181</v>
      </c>
      <c r="C11" s="17">
        <v>4.6089893020222102E-2</v>
      </c>
      <c r="D11" s="17">
        <v>5.1162636777070399E-2</v>
      </c>
      <c r="E11" s="17">
        <v>4.1160556974996002E-2</v>
      </c>
      <c r="F11" s="17"/>
      <c r="G11" s="17">
        <v>7.5068130517498194E-2</v>
      </c>
      <c r="H11" s="17">
        <v>5.6852675857785202E-2</v>
      </c>
      <c r="I11" s="17">
        <v>5.4321967140950403E-2</v>
      </c>
      <c r="J11" s="17">
        <v>4.7662632252756701E-2</v>
      </c>
      <c r="K11" s="17">
        <v>3.03293623814711E-2</v>
      </c>
      <c r="L11" s="17">
        <v>3.2953001940291701E-2</v>
      </c>
      <c r="M11" s="17"/>
      <c r="N11" s="17">
        <v>3.4321660125678E-2</v>
      </c>
      <c r="O11" s="17">
        <v>1.00462161265087E-2</v>
      </c>
      <c r="P11" s="17">
        <v>4.5390628473720697E-2</v>
      </c>
      <c r="Q11" s="17">
        <v>4.6630246558877299E-2</v>
      </c>
      <c r="R11" s="17">
        <v>4.2619050809905801E-2</v>
      </c>
      <c r="S11" s="17">
        <v>3.0702985523851901E-2</v>
      </c>
      <c r="T11" s="17">
        <v>3.5889271357300197E-2</v>
      </c>
      <c r="U11" s="17">
        <v>8.7179397263702094E-2</v>
      </c>
      <c r="V11" s="17">
        <v>4.0325662151006997E-2</v>
      </c>
      <c r="W11" s="17"/>
      <c r="X11" s="17">
        <v>4.5789473045753502E-2</v>
      </c>
      <c r="Y11" s="17">
        <v>4.6256135377804902E-2</v>
      </c>
    </row>
    <row r="12" spans="2:25" x14ac:dyDescent="0.35">
      <c r="B12" s="18" t="s">
        <v>88</v>
      </c>
      <c r="C12" s="17">
        <v>1.07934855906778E-2</v>
      </c>
      <c r="D12" s="17">
        <v>1.0146825105007799E-2</v>
      </c>
      <c r="E12" s="17">
        <v>1.14454413258253E-2</v>
      </c>
      <c r="F12" s="17"/>
      <c r="G12" s="17">
        <v>2.3911104048428E-2</v>
      </c>
      <c r="H12" s="17">
        <v>9.5258932847535494E-3</v>
      </c>
      <c r="I12" s="17">
        <v>1.3889698865865399E-2</v>
      </c>
      <c r="J12" s="17">
        <v>7.6916605134424798E-3</v>
      </c>
      <c r="K12" s="17">
        <v>1.0913524016763499E-2</v>
      </c>
      <c r="L12" s="17">
        <v>6.7167453458624599E-3</v>
      </c>
      <c r="M12" s="17"/>
      <c r="N12" s="17">
        <v>9.6311431829381906E-3</v>
      </c>
      <c r="O12" s="17">
        <v>0</v>
      </c>
      <c r="P12" s="17">
        <v>1.03204086915933E-2</v>
      </c>
      <c r="Q12" s="17">
        <v>1.45533651368669E-2</v>
      </c>
      <c r="R12" s="17">
        <v>1.0672631219365399E-2</v>
      </c>
      <c r="S12" s="17">
        <v>9.8088988886557097E-3</v>
      </c>
      <c r="T12" s="17">
        <v>6.5228967179951601E-3</v>
      </c>
      <c r="U12" s="17">
        <v>1.9625674197245702E-2</v>
      </c>
      <c r="V12" s="17">
        <v>0</v>
      </c>
      <c r="W12" s="17"/>
      <c r="X12" s="17">
        <v>8.4027383716622807E-3</v>
      </c>
      <c r="Y12" s="17">
        <v>1.2116445073570899E-2</v>
      </c>
    </row>
    <row r="13" spans="2:25" x14ac:dyDescent="0.35">
      <c r="B13" s="18" t="s">
        <v>89</v>
      </c>
      <c r="C13" s="17">
        <v>5.71419983577451E-3</v>
      </c>
      <c r="D13" s="17">
        <v>5.4414414910017202E-3</v>
      </c>
      <c r="E13" s="17">
        <v>5.9938395644802004E-3</v>
      </c>
      <c r="F13" s="17"/>
      <c r="G13" s="17">
        <v>1.6356530219829499E-3</v>
      </c>
      <c r="H13" s="17">
        <v>1.00594276517573E-3</v>
      </c>
      <c r="I13" s="17">
        <v>1.99820472044107E-3</v>
      </c>
      <c r="J13" s="17">
        <v>7.9640646733109294E-3</v>
      </c>
      <c r="K13" s="17">
        <v>9.8072021001007099E-3</v>
      </c>
      <c r="L13" s="17">
        <v>8.1713339943253992E-3</v>
      </c>
      <c r="M13" s="17"/>
      <c r="N13" s="17">
        <v>4.5171036054066898E-3</v>
      </c>
      <c r="O13" s="17">
        <v>0</v>
      </c>
      <c r="P13" s="17">
        <v>1.01333740323455E-2</v>
      </c>
      <c r="Q13" s="17">
        <v>6.2607289452101802E-3</v>
      </c>
      <c r="R13" s="17">
        <v>2.6827238952203099E-3</v>
      </c>
      <c r="S13" s="17">
        <v>1.0665559708922E-3</v>
      </c>
      <c r="T13" s="17">
        <v>4.5976590194961604E-3</v>
      </c>
      <c r="U13" s="17">
        <v>1.2344520160292499E-2</v>
      </c>
      <c r="V13" s="17">
        <v>2.2152699479869899E-3</v>
      </c>
      <c r="W13" s="17"/>
      <c r="X13" s="17">
        <v>3.9577046289875099E-3</v>
      </c>
      <c r="Y13" s="17">
        <v>6.6861854861153102E-3</v>
      </c>
    </row>
    <row r="14" spans="2:25" x14ac:dyDescent="0.35">
      <c r="B14" s="18" t="s">
        <v>69</v>
      </c>
      <c r="C14" s="17">
        <v>9.7574987035440406E-3</v>
      </c>
      <c r="D14" s="17">
        <v>9.2568449272532796E-3</v>
      </c>
      <c r="E14" s="17">
        <v>9.9534465854311405E-3</v>
      </c>
      <c r="F14" s="17"/>
      <c r="G14" s="17">
        <v>7.1400211728897501E-3</v>
      </c>
      <c r="H14" s="17">
        <v>1.1157276341604801E-2</v>
      </c>
      <c r="I14" s="17">
        <v>8.9854085334468894E-3</v>
      </c>
      <c r="J14" s="17">
        <v>1.03454100343673E-2</v>
      </c>
      <c r="K14" s="17">
        <v>1.16024593865123E-2</v>
      </c>
      <c r="L14" s="17">
        <v>8.7820588258223104E-3</v>
      </c>
      <c r="M14" s="17"/>
      <c r="N14" s="17">
        <v>8.8361158392699299E-3</v>
      </c>
      <c r="O14" s="17">
        <v>8.4199218384367405E-3</v>
      </c>
      <c r="P14" s="17">
        <v>2.10186590334481E-2</v>
      </c>
      <c r="Q14" s="17">
        <v>9.2103092427995199E-3</v>
      </c>
      <c r="R14" s="17">
        <v>7.2807616825344302E-3</v>
      </c>
      <c r="S14" s="17">
        <v>6.7092810651045E-3</v>
      </c>
      <c r="T14" s="17">
        <v>2.2273019092271199E-3</v>
      </c>
      <c r="U14" s="17">
        <v>1.3280157866113701E-2</v>
      </c>
      <c r="V14" s="17">
        <v>8.0386861867788803E-3</v>
      </c>
      <c r="W14" s="17"/>
      <c r="X14" s="17">
        <v>6.0942878655217197E-3</v>
      </c>
      <c r="Y14" s="17">
        <v>1.17845969586219E-2</v>
      </c>
    </row>
    <row r="15" spans="2:25" x14ac:dyDescent="0.35">
      <c r="B15" s="18" t="s">
        <v>90</v>
      </c>
      <c r="C15" s="21">
        <v>0.92764492284978195</v>
      </c>
      <c r="D15" s="21">
        <v>0.92399225169966703</v>
      </c>
      <c r="E15" s="21">
        <v>0.93144671554926695</v>
      </c>
      <c r="F15" s="21"/>
      <c r="G15" s="21">
        <v>0.89224509123920104</v>
      </c>
      <c r="H15" s="21">
        <v>0.92145821175068099</v>
      </c>
      <c r="I15" s="21">
        <v>0.92080472073929598</v>
      </c>
      <c r="J15" s="21">
        <v>0.92633623252612296</v>
      </c>
      <c r="K15" s="21">
        <v>0.93734745211515202</v>
      </c>
      <c r="L15" s="21">
        <v>0.94337685989369802</v>
      </c>
      <c r="M15" s="21"/>
      <c r="N15" s="21">
        <v>0.942693977246707</v>
      </c>
      <c r="O15" s="21">
        <v>0.98153386203505499</v>
      </c>
      <c r="P15" s="21">
        <v>0.91313692976889205</v>
      </c>
      <c r="Q15" s="21">
        <v>0.92334535011624597</v>
      </c>
      <c r="R15" s="21">
        <v>0.93674483239297401</v>
      </c>
      <c r="S15" s="21">
        <v>0.95171227855149598</v>
      </c>
      <c r="T15" s="21">
        <v>0.950762870995981</v>
      </c>
      <c r="U15" s="21">
        <v>0.86757025051264602</v>
      </c>
      <c r="V15" s="21">
        <v>0.94942038171422705</v>
      </c>
      <c r="W15" s="21"/>
      <c r="X15" s="21">
        <v>0.93575579608807502</v>
      </c>
      <c r="Y15" s="21">
        <v>0.92315663710388696</v>
      </c>
    </row>
    <row r="16" spans="2:25" x14ac:dyDescent="0.35">
      <c r="B16" s="18" t="s">
        <v>91</v>
      </c>
      <c r="C16" s="21">
        <v>1.6507685426452302E-2</v>
      </c>
      <c r="D16" s="21">
        <v>1.5588266596009599E-2</v>
      </c>
      <c r="E16" s="21">
        <v>1.7439280890305501E-2</v>
      </c>
      <c r="F16" s="21"/>
      <c r="G16" s="21">
        <v>2.5546757070410899E-2</v>
      </c>
      <c r="H16" s="21">
        <v>1.05318360499293E-2</v>
      </c>
      <c r="I16" s="21">
        <v>1.5887903586306401E-2</v>
      </c>
      <c r="J16" s="21">
        <v>1.56557251867534E-2</v>
      </c>
      <c r="K16" s="21">
        <v>2.0720726116864201E-2</v>
      </c>
      <c r="L16" s="21">
        <v>1.4888079340187901E-2</v>
      </c>
      <c r="M16" s="21"/>
      <c r="N16" s="21">
        <v>1.41482467883449E-2</v>
      </c>
      <c r="O16" s="21">
        <v>0</v>
      </c>
      <c r="P16" s="21">
        <v>2.0453782723938801E-2</v>
      </c>
      <c r="Q16" s="21">
        <v>2.08140940820771E-2</v>
      </c>
      <c r="R16" s="21">
        <v>1.33553551145857E-2</v>
      </c>
      <c r="S16" s="21">
        <v>1.08754548595479E-2</v>
      </c>
      <c r="T16" s="21">
        <v>1.11205557374913E-2</v>
      </c>
      <c r="U16" s="21">
        <v>3.1970194357538201E-2</v>
      </c>
      <c r="V16" s="21">
        <v>2.2152699479869899E-3</v>
      </c>
      <c r="W16" s="21"/>
      <c r="X16" s="21">
        <v>1.23604430006498E-2</v>
      </c>
      <c r="Y16" s="21">
        <v>1.8802630559686201E-2</v>
      </c>
    </row>
    <row r="17" spans="2:25" x14ac:dyDescent="0.35">
      <c r="B17" s="18" t="s">
        <v>92</v>
      </c>
      <c r="C17" s="22">
        <v>0.91113723742332897</v>
      </c>
      <c r="D17" s="22">
        <v>0.90840398510365705</v>
      </c>
      <c r="E17" s="22">
        <v>0.91400743465896195</v>
      </c>
      <c r="F17" s="22"/>
      <c r="G17" s="22">
        <v>0.86669833416879005</v>
      </c>
      <c r="H17" s="22">
        <v>0.91092637570075097</v>
      </c>
      <c r="I17" s="22">
        <v>0.90491681715298999</v>
      </c>
      <c r="J17" s="22">
        <v>0.91068050733936901</v>
      </c>
      <c r="K17" s="22">
        <v>0.91662672599828798</v>
      </c>
      <c r="L17" s="22">
        <v>0.92848878055351003</v>
      </c>
      <c r="M17" s="22"/>
      <c r="N17" s="22">
        <v>0.92854573045836197</v>
      </c>
      <c r="O17" s="22">
        <v>0.98153386203505499</v>
      </c>
      <c r="P17" s="22">
        <v>0.892683147044954</v>
      </c>
      <c r="Q17" s="22">
        <v>0.90253125603416895</v>
      </c>
      <c r="R17" s="22">
        <v>0.92338947727838805</v>
      </c>
      <c r="S17" s="22">
        <v>0.94083682369194799</v>
      </c>
      <c r="T17" s="22">
        <v>0.93964231525848996</v>
      </c>
      <c r="U17" s="22">
        <v>0.83560005615510802</v>
      </c>
      <c r="V17" s="22">
        <v>0.94720511176624</v>
      </c>
      <c r="W17" s="22"/>
      <c r="X17" s="22">
        <v>0.92339535308742504</v>
      </c>
      <c r="Y17" s="22">
        <v>0.90435400654420095</v>
      </c>
    </row>
    <row r="18" spans="2:25" x14ac:dyDescent="0.35">
      <c r="B18" s="16"/>
    </row>
    <row r="19" spans="2:25" x14ac:dyDescent="0.35">
      <c r="B19" t="s">
        <v>51</v>
      </c>
    </row>
    <row r="20" spans="2:25" x14ac:dyDescent="0.35">
      <c r="B20" t="s">
        <v>52</v>
      </c>
    </row>
    <row r="22" spans="2:25" x14ac:dyDescent="0.35">
      <c r="B22" s="8" t="str">
        <f>HYPERLINK("#'Contents'!A1", "Return to Contents")</f>
        <v>Return to Contents</v>
      </c>
    </row>
  </sheetData>
  <mergeCells count="5">
    <mergeCell ref="D5:E5"/>
    <mergeCell ref="G5:L5"/>
    <mergeCell ref="N5:V5"/>
    <mergeCell ref="X5:Y5"/>
    <mergeCell ref="D2:W2"/>
  </mergeCells>
  <pageMargins left="0.7" right="0.7" top="0.75" bottom="0.75" header="0.3" footer="0.3"/>
  <pageSetup paperSize="9" orientation="portrait" horizontalDpi="300" verticalDpi="300"/>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B2:Y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s>
  <sheetData>
    <row r="2" spans="2:25" ht="40" customHeight="1" x14ac:dyDescent="0.35">
      <c r="D2" s="30" t="s">
        <v>186</v>
      </c>
      <c r="E2" s="26"/>
      <c r="F2" s="26"/>
      <c r="G2" s="26"/>
      <c r="H2" s="26"/>
      <c r="I2" s="26"/>
      <c r="J2" s="26"/>
      <c r="K2" s="26"/>
      <c r="L2" s="26"/>
      <c r="M2" s="26"/>
      <c r="N2" s="26"/>
      <c r="O2" s="26"/>
      <c r="P2" s="26"/>
      <c r="Q2" s="26"/>
      <c r="R2" s="26"/>
      <c r="S2" s="26"/>
      <c r="T2" s="26"/>
      <c r="U2" s="26"/>
      <c r="V2" s="26"/>
      <c r="W2" s="26"/>
    </row>
    <row r="5" spans="2:25" ht="30" customHeight="1" x14ac:dyDescent="0.35">
      <c r="B5" s="15"/>
      <c r="C5" s="15"/>
      <c r="D5" s="29" t="s">
        <v>38</v>
      </c>
      <c r="E5" s="29"/>
      <c r="F5" s="15"/>
      <c r="G5" s="29" t="s">
        <v>39</v>
      </c>
      <c r="H5" s="29"/>
      <c r="I5" s="29"/>
      <c r="J5" s="29"/>
      <c r="K5" s="29"/>
      <c r="L5" s="29"/>
      <c r="M5" s="15"/>
      <c r="N5" s="29" t="s">
        <v>40</v>
      </c>
      <c r="O5" s="29"/>
      <c r="P5" s="29"/>
      <c r="Q5" s="29"/>
      <c r="R5" s="29"/>
      <c r="S5" s="29"/>
      <c r="T5" s="29"/>
      <c r="U5" s="29"/>
      <c r="V5" s="29"/>
      <c r="W5" s="15"/>
      <c r="X5" s="29" t="s">
        <v>41</v>
      </c>
      <c r="Y5" s="29"/>
    </row>
    <row r="6" spans="2:25" ht="29"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row>
    <row r="7" spans="2:25" ht="30" customHeight="1" x14ac:dyDescent="0.35">
      <c r="B7" s="10" t="s">
        <v>19</v>
      </c>
      <c r="C7" s="10">
        <v>6838</v>
      </c>
      <c r="D7" s="10">
        <v>3283</v>
      </c>
      <c r="E7" s="10">
        <v>3541</v>
      </c>
      <c r="F7" s="10"/>
      <c r="G7" s="10">
        <v>635</v>
      </c>
      <c r="H7" s="10">
        <v>1075</v>
      </c>
      <c r="I7" s="10">
        <v>1093</v>
      </c>
      <c r="J7" s="10">
        <v>1228</v>
      </c>
      <c r="K7" s="10">
        <v>1156</v>
      </c>
      <c r="L7" s="10">
        <v>1651</v>
      </c>
      <c r="M7" s="10"/>
      <c r="N7" s="10">
        <v>208</v>
      </c>
      <c r="O7" s="10">
        <v>200</v>
      </c>
      <c r="P7" s="10">
        <v>1002</v>
      </c>
      <c r="Q7" s="10">
        <v>1000</v>
      </c>
      <c r="R7" s="10">
        <v>1004</v>
      </c>
      <c r="S7" s="10">
        <v>1006</v>
      </c>
      <c r="T7" s="10">
        <v>1006</v>
      </c>
      <c r="U7" s="10">
        <v>1007</v>
      </c>
      <c r="V7" s="10">
        <v>405</v>
      </c>
      <c r="W7" s="10"/>
      <c r="X7" s="10">
        <v>2650</v>
      </c>
      <c r="Y7" s="10">
        <v>4188</v>
      </c>
    </row>
    <row r="8" spans="2:25" ht="30" customHeight="1" x14ac:dyDescent="0.35">
      <c r="B8" s="11" t="s">
        <v>20</v>
      </c>
      <c r="C8" s="11">
        <v>6838</v>
      </c>
      <c r="D8" s="11">
        <v>3309</v>
      </c>
      <c r="E8" s="11">
        <v>3515</v>
      </c>
      <c r="F8" s="11"/>
      <c r="G8" s="11">
        <v>645</v>
      </c>
      <c r="H8" s="11">
        <v>1026</v>
      </c>
      <c r="I8" s="11">
        <v>1111</v>
      </c>
      <c r="J8" s="11">
        <v>1184</v>
      </c>
      <c r="K8" s="11">
        <v>1140</v>
      </c>
      <c r="L8" s="11">
        <v>1732</v>
      </c>
      <c r="M8" s="11"/>
      <c r="N8" s="11">
        <v>208</v>
      </c>
      <c r="O8" s="11">
        <v>200</v>
      </c>
      <c r="P8" s="11">
        <v>1002</v>
      </c>
      <c r="Q8" s="11">
        <v>1000</v>
      </c>
      <c r="R8" s="11">
        <v>1004</v>
      </c>
      <c r="S8" s="11">
        <v>1006</v>
      </c>
      <c r="T8" s="11">
        <v>1006</v>
      </c>
      <c r="U8" s="11">
        <v>1007</v>
      </c>
      <c r="V8" s="11">
        <v>405</v>
      </c>
      <c r="W8" s="11"/>
      <c r="X8" s="11">
        <v>2436</v>
      </c>
      <c r="Y8" s="11">
        <v>4402</v>
      </c>
    </row>
    <row r="9" spans="2:25" x14ac:dyDescent="0.35">
      <c r="B9" s="18" t="s">
        <v>85</v>
      </c>
      <c r="C9" s="17">
        <v>0.42498700034127201</v>
      </c>
      <c r="D9" s="17">
        <v>0.46223986989118199</v>
      </c>
      <c r="E9" s="17">
        <v>0.38941130534200902</v>
      </c>
      <c r="F9" s="17"/>
      <c r="G9" s="17">
        <v>0.54809335366872802</v>
      </c>
      <c r="H9" s="17">
        <v>0.54052287333111004</v>
      </c>
      <c r="I9" s="17">
        <v>0.45566541254920101</v>
      </c>
      <c r="J9" s="17">
        <v>0.44406790961453002</v>
      </c>
      <c r="K9" s="17">
        <v>0.389269470930519</v>
      </c>
      <c r="L9" s="17">
        <v>0.301570170327772</v>
      </c>
      <c r="M9" s="17"/>
      <c r="N9" s="17">
        <v>0.50621488201865505</v>
      </c>
      <c r="O9" s="17">
        <v>0.45380403567591099</v>
      </c>
      <c r="P9" s="17">
        <v>0.38949280635757499</v>
      </c>
      <c r="Q9" s="17">
        <v>0.455137356970434</v>
      </c>
      <c r="R9" s="17">
        <v>0.409391451640852</v>
      </c>
      <c r="S9" s="17">
        <v>0.50226513318975896</v>
      </c>
      <c r="T9" s="17">
        <v>0.49827871469352902</v>
      </c>
      <c r="U9" s="17">
        <v>0.27070550424172601</v>
      </c>
      <c r="V9" s="17">
        <v>0.43067132248990497</v>
      </c>
      <c r="W9" s="17"/>
      <c r="X9" s="17">
        <v>0.50067321258458197</v>
      </c>
      <c r="Y9" s="17">
        <v>0.38310478401361597</v>
      </c>
    </row>
    <row r="10" spans="2:25" x14ac:dyDescent="0.35">
      <c r="B10" s="18" t="s">
        <v>86</v>
      </c>
      <c r="C10" s="17">
        <v>0.29211100978658</v>
      </c>
      <c r="D10" s="17">
        <v>0.27748439431953298</v>
      </c>
      <c r="E10" s="17">
        <v>0.30621614008235798</v>
      </c>
      <c r="F10" s="17"/>
      <c r="G10" s="17">
        <v>0.31232009288680901</v>
      </c>
      <c r="H10" s="17">
        <v>0.28074166680996598</v>
      </c>
      <c r="I10" s="17">
        <v>0.32690886716317202</v>
      </c>
      <c r="J10" s="17">
        <v>0.30445092414956498</v>
      </c>
      <c r="K10" s="17">
        <v>0.27717590623141197</v>
      </c>
      <c r="L10" s="17">
        <v>0.27039767388813502</v>
      </c>
      <c r="M10" s="17"/>
      <c r="N10" s="17">
        <v>0.25789453589900502</v>
      </c>
      <c r="O10" s="17">
        <v>0.28897502014294901</v>
      </c>
      <c r="P10" s="17">
        <v>0.29936940750705998</v>
      </c>
      <c r="Q10" s="17">
        <v>0.247089715142881</v>
      </c>
      <c r="R10" s="17">
        <v>0.36437682769839702</v>
      </c>
      <c r="S10" s="17">
        <v>0.24156577980076099</v>
      </c>
      <c r="T10" s="17">
        <v>0.28660736121197999</v>
      </c>
      <c r="U10" s="17">
        <v>0.32903522564827797</v>
      </c>
      <c r="V10" s="17">
        <v>0.27270412065251798</v>
      </c>
      <c r="W10" s="17"/>
      <c r="X10" s="17">
        <v>0.290945564993982</v>
      </c>
      <c r="Y10" s="17">
        <v>0.29275592792258898</v>
      </c>
    </row>
    <row r="11" spans="2:25" ht="29" x14ac:dyDescent="0.35">
      <c r="B11" s="18" t="s">
        <v>181</v>
      </c>
      <c r="C11" s="17">
        <v>0.13614139293229199</v>
      </c>
      <c r="D11" s="17">
        <v>0.14137995834391101</v>
      </c>
      <c r="E11" s="17">
        <v>0.131107162209084</v>
      </c>
      <c r="F11" s="17"/>
      <c r="G11" s="17">
        <v>9.7237558483826897E-2</v>
      </c>
      <c r="H11" s="17">
        <v>0.109676892450762</v>
      </c>
      <c r="I11" s="17">
        <v>0.13063871753168799</v>
      </c>
      <c r="J11" s="17">
        <v>0.138019773908723</v>
      </c>
      <c r="K11" s="17">
        <v>0.146933860816925</v>
      </c>
      <c r="L11" s="17">
        <v>0.16142821960708401</v>
      </c>
      <c r="M11" s="17"/>
      <c r="N11" s="17">
        <v>0.10860469875789799</v>
      </c>
      <c r="O11" s="17">
        <v>0.10367762950662</v>
      </c>
      <c r="P11" s="17">
        <v>0.134832684259656</v>
      </c>
      <c r="Q11" s="17">
        <v>0.152569439505544</v>
      </c>
      <c r="R11" s="17">
        <v>0.12935957031216899</v>
      </c>
      <c r="S11" s="17">
        <v>0.104155861334771</v>
      </c>
      <c r="T11" s="17">
        <v>0.116383710654184</v>
      </c>
      <c r="U11" s="17">
        <v>0.19281605746786601</v>
      </c>
      <c r="V11" s="17">
        <v>0.133412752123166</v>
      </c>
      <c r="W11" s="17"/>
      <c r="X11" s="17">
        <v>0.108528249575238</v>
      </c>
      <c r="Y11" s="17">
        <v>0.151421582140981</v>
      </c>
    </row>
    <row r="12" spans="2:25" x14ac:dyDescent="0.35">
      <c r="B12" s="18" t="s">
        <v>88</v>
      </c>
      <c r="C12" s="17">
        <v>6.2236125446208802E-2</v>
      </c>
      <c r="D12" s="17">
        <v>5.5424001601426999E-2</v>
      </c>
      <c r="E12" s="17">
        <v>6.8898095185675204E-2</v>
      </c>
      <c r="F12" s="17"/>
      <c r="G12" s="17">
        <v>3.1191715584572101E-2</v>
      </c>
      <c r="H12" s="17">
        <v>4.0617561353023503E-2</v>
      </c>
      <c r="I12" s="17">
        <v>5.0564973557404899E-2</v>
      </c>
      <c r="J12" s="17">
        <v>4.6797579251999802E-2</v>
      </c>
      <c r="K12" s="17">
        <v>7.3754632366887105E-2</v>
      </c>
      <c r="L12" s="17">
        <v>9.7041768526223093E-2</v>
      </c>
      <c r="M12" s="17"/>
      <c r="N12" s="17">
        <v>3.4314637845934297E-2</v>
      </c>
      <c r="O12" s="17">
        <v>8.0948225314603703E-2</v>
      </c>
      <c r="P12" s="17">
        <v>5.5958611575428398E-2</v>
      </c>
      <c r="Q12" s="17">
        <v>4.3124462645757103E-2</v>
      </c>
      <c r="R12" s="17">
        <v>4.3795347728573103E-2</v>
      </c>
      <c r="S12" s="17">
        <v>5.9401850523499E-2</v>
      </c>
      <c r="T12" s="17">
        <v>5.4865183200530999E-2</v>
      </c>
      <c r="U12" s="17">
        <v>0.10559898820126901</v>
      </c>
      <c r="V12" s="17">
        <v>9.3301724586232607E-2</v>
      </c>
      <c r="W12" s="17"/>
      <c r="X12" s="17">
        <v>5.1282695220010097E-2</v>
      </c>
      <c r="Y12" s="17">
        <v>6.8297387077175004E-2</v>
      </c>
    </row>
    <row r="13" spans="2:25" x14ac:dyDescent="0.35">
      <c r="B13" s="18" t="s">
        <v>89</v>
      </c>
      <c r="C13" s="17">
        <v>4.1543660914047299E-2</v>
      </c>
      <c r="D13" s="17">
        <v>3.15868617529853E-2</v>
      </c>
      <c r="E13" s="17">
        <v>5.10832308145754E-2</v>
      </c>
      <c r="F13" s="17"/>
      <c r="G13" s="17">
        <v>5.8464708151595799E-3</v>
      </c>
      <c r="H13" s="17">
        <v>1.4234494365252899E-2</v>
      </c>
      <c r="I13" s="17">
        <v>1.6365954532771301E-2</v>
      </c>
      <c r="J13" s="17">
        <v>2.9828832851766698E-2</v>
      </c>
      <c r="K13" s="17">
        <v>5.1458824727169901E-2</v>
      </c>
      <c r="L13" s="17">
        <v>8.8624140709534699E-2</v>
      </c>
      <c r="M13" s="17"/>
      <c r="N13" s="17">
        <v>3.9078224073742902E-2</v>
      </c>
      <c r="O13" s="17">
        <v>4.0474858854991101E-2</v>
      </c>
      <c r="P13" s="17">
        <v>6.1172834925257699E-2</v>
      </c>
      <c r="Q13" s="17">
        <v>5.54577282874869E-2</v>
      </c>
      <c r="R13" s="17">
        <v>1.52698849347815E-2</v>
      </c>
      <c r="S13" s="17">
        <v>4.89109097174222E-2</v>
      </c>
      <c r="T13" s="17">
        <v>2.02831357131638E-2</v>
      </c>
      <c r="U13" s="17">
        <v>4.7144866185640899E-2</v>
      </c>
      <c r="V13" s="17">
        <v>4.61341917103536E-2</v>
      </c>
      <c r="W13" s="17"/>
      <c r="X13" s="17">
        <v>2.5785621507588001E-2</v>
      </c>
      <c r="Y13" s="17">
        <v>5.0263632435404597E-2</v>
      </c>
    </row>
    <row r="14" spans="2:25" x14ac:dyDescent="0.35">
      <c r="B14" s="18" t="s">
        <v>69</v>
      </c>
      <c r="C14" s="17">
        <v>4.29808105795993E-2</v>
      </c>
      <c r="D14" s="17">
        <v>3.18849140909616E-2</v>
      </c>
      <c r="E14" s="17">
        <v>5.3284066366298899E-2</v>
      </c>
      <c r="F14" s="17"/>
      <c r="G14" s="17">
        <v>5.3108085609044004E-3</v>
      </c>
      <c r="H14" s="17">
        <v>1.4206511689885201E-2</v>
      </c>
      <c r="I14" s="17">
        <v>1.9856074665761898E-2</v>
      </c>
      <c r="J14" s="17">
        <v>3.6834980223416199E-2</v>
      </c>
      <c r="K14" s="17">
        <v>6.1407304927086598E-2</v>
      </c>
      <c r="L14" s="17">
        <v>8.0938026941250296E-2</v>
      </c>
      <c r="M14" s="17"/>
      <c r="N14" s="17">
        <v>5.3893021404764499E-2</v>
      </c>
      <c r="O14" s="17">
        <v>3.2120230504924997E-2</v>
      </c>
      <c r="P14" s="17">
        <v>5.9173655375023101E-2</v>
      </c>
      <c r="Q14" s="17">
        <v>4.6621297447896899E-2</v>
      </c>
      <c r="R14" s="17">
        <v>3.78069176852271E-2</v>
      </c>
      <c r="S14" s="17">
        <v>4.3700465433787798E-2</v>
      </c>
      <c r="T14" s="17">
        <v>2.3581894526611399E-2</v>
      </c>
      <c r="U14" s="17">
        <v>5.46993582552186E-2</v>
      </c>
      <c r="V14" s="17">
        <v>2.3775888437824699E-2</v>
      </c>
      <c r="W14" s="17"/>
      <c r="X14" s="17">
        <v>2.2784656118600002E-2</v>
      </c>
      <c r="Y14" s="17">
        <v>5.4156686410234502E-2</v>
      </c>
    </row>
    <row r="15" spans="2:25" x14ac:dyDescent="0.35">
      <c r="B15" s="18" t="s">
        <v>90</v>
      </c>
      <c r="C15" s="21">
        <v>0.71709801012785201</v>
      </c>
      <c r="D15" s="21">
        <v>0.73972426421071502</v>
      </c>
      <c r="E15" s="21">
        <v>0.69562744542436605</v>
      </c>
      <c r="F15" s="21"/>
      <c r="G15" s="21">
        <v>0.86041344655553698</v>
      </c>
      <c r="H15" s="21">
        <v>0.82126454014107697</v>
      </c>
      <c r="I15" s="21">
        <v>0.78257427971237403</v>
      </c>
      <c r="J15" s="21">
        <v>0.748518833764094</v>
      </c>
      <c r="K15" s="21">
        <v>0.66644537716193097</v>
      </c>
      <c r="L15" s="21">
        <v>0.57196784421590796</v>
      </c>
      <c r="M15" s="21"/>
      <c r="N15" s="21">
        <v>0.76410941791765996</v>
      </c>
      <c r="O15" s="21">
        <v>0.74277905581885995</v>
      </c>
      <c r="P15" s="21">
        <v>0.68886221386463498</v>
      </c>
      <c r="Q15" s="21">
        <v>0.70222707211331503</v>
      </c>
      <c r="R15" s="21">
        <v>0.77376827933924996</v>
      </c>
      <c r="S15" s="21">
        <v>0.74383091299051995</v>
      </c>
      <c r="T15" s="21">
        <v>0.78488607590550996</v>
      </c>
      <c r="U15" s="21">
        <v>0.59974072989000504</v>
      </c>
      <c r="V15" s="21">
        <v>0.70337544314242295</v>
      </c>
      <c r="W15" s="21"/>
      <c r="X15" s="21">
        <v>0.79161877757856403</v>
      </c>
      <c r="Y15" s="21">
        <v>0.67586071193620501</v>
      </c>
    </row>
    <row r="16" spans="2:25" x14ac:dyDescent="0.35">
      <c r="B16" s="18" t="s">
        <v>91</v>
      </c>
      <c r="C16" s="21">
        <v>0.103779786360256</v>
      </c>
      <c r="D16" s="21">
        <v>8.7010863354412299E-2</v>
      </c>
      <c r="E16" s="21">
        <v>0.11998132600025101</v>
      </c>
      <c r="F16" s="21"/>
      <c r="G16" s="21">
        <v>3.70381863997317E-2</v>
      </c>
      <c r="H16" s="21">
        <v>5.48520557182764E-2</v>
      </c>
      <c r="I16" s="21">
        <v>6.69309280901762E-2</v>
      </c>
      <c r="J16" s="21">
        <v>7.66264121037665E-2</v>
      </c>
      <c r="K16" s="21">
        <v>0.12521345709405701</v>
      </c>
      <c r="L16" s="21">
        <v>0.18566590923575799</v>
      </c>
      <c r="M16" s="21"/>
      <c r="N16" s="21">
        <v>7.3392861919677199E-2</v>
      </c>
      <c r="O16" s="21">
        <v>0.12142308416959501</v>
      </c>
      <c r="P16" s="21">
        <v>0.11713144650068601</v>
      </c>
      <c r="Q16" s="21">
        <v>9.8582190933243996E-2</v>
      </c>
      <c r="R16" s="21">
        <v>5.9065232663354603E-2</v>
      </c>
      <c r="S16" s="21">
        <v>0.108312760240921</v>
      </c>
      <c r="T16" s="21">
        <v>7.5148318913694903E-2</v>
      </c>
      <c r="U16" s="21">
        <v>0.15274385438690999</v>
      </c>
      <c r="V16" s="21">
        <v>0.139435916296586</v>
      </c>
      <c r="W16" s="21"/>
      <c r="X16" s="21">
        <v>7.7068316727598105E-2</v>
      </c>
      <c r="Y16" s="21">
        <v>0.11856101951258</v>
      </c>
    </row>
    <row r="17" spans="2:25" x14ac:dyDescent="0.35">
      <c r="B17" s="18" t="s">
        <v>92</v>
      </c>
      <c r="C17" s="22">
        <v>0.61331822376759604</v>
      </c>
      <c r="D17" s="22">
        <v>0.65271340085630203</v>
      </c>
      <c r="E17" s="22">
        <v>0.57564611942411503</v>
      </c>
      <c r="F17" s="22"/>
      <c r="G17" s="22">
        <v>0.82337526015580498</v>
      </c>
      <c r="H17" s="22">
        <v>0.76641248442279997</v>
      </c>
      <c r="I17" s="22">
        <v>0.71564335162219705</v>
      </c>
      <c r="J17" s="22">
        <v>0.67189242166032803</v>
      </c>
      <c r="K17" s="22">
        <v>0.54123192006787402</v>
      </c>
      <c r="L17" s="22">
        <v>0.38630193498014997</v>
      </c>
      <c r="M17" s="22"/>
      <c r="N17" s="22">
        <v>0.69071655599798298</v>
      </c>
      <c r="O17" s="22">
        <v>0.62135597164926504</v>
      </c>
      <c r="P17" s="22">
        <v>0.57173076736394901</v>
      </c>
      <c r="Q17" s="22">
        <v>0.60364488118007098</v>
      </c>
      <c r="R17" s="22">
        <v>0.71470304667589502</v>
      </c>
      <c r="S17" s="22">
        <v>0.635518152749599</v>
      </c>
      <c r="T17" s="22">
        <v>0.70973775699181496</v>
      </c>
      <c r="U17" s="22">
        <v>0.44699687550309503</v>
      </c>
      <c r="V17" s="22">
        <v>0.56393952684583704</v>
      </c>
      <c r="W17" s="22"/>
      <c r="X17" s="22">
        <v>0.71455046085096596</v>
      </c>
      <c r="Y17" s="22">
        <v>0.55729969242362498</v>
      </c>
    </row>
    <row r="18" spans="2:25" x14ac:dyDescent="0.35">
      <c r="B18" s="16"/>
    </row>
    <row r="19" spans="2:25" x14ac:dyDescent="0.35">
      <c r="B19" t="s">
        <v>51</v>
      </c>
    </row>
    <row r="20" spans="2:25" x14ac:dyDescent="0.35">
      <c r="B20" t="s">
        <v>52</v>
      </c>
    </row>
    <row r="22" spans="2:25" x14ac:dyDescent="0.35">
      <c r="B22" s="8" t="str">
        <f>HYPERLINK("#'Contents'!A1", "Return to Contents")</f>
        <v>Return to Contents</v>
      </c>
    </row>
  </sheetData>
  <mergeCells count="5">
    <mergeCell ref="D5:E5"/>
    <mergeCell ref="G5:L5"/>
    <mergeCell ref="N5:V5"/>
    <mergeCell ref="X5:Y5"/>
    <mergeCell ref="D2:W2"/>
  </mergeCells>
  <pageMargins left="0.7" right="0.7" top="0.75" bottom="0.75" header="0.3" footer="0.3"/>
  <pageSetup paperSize="9" orientation="portrait" horizontalDpi="300" verticalDpi="300"/>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B2:Y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s>
  <sheetData>
    <row r="2" spans="2:25" ht="40" customHeight="1" x14ac:dyDescent="0.35">
      <c r="D2" s="30" t="s">
        <v>187</v>
      </c>
      <c r="E2" s="26"/>
      <c r="F2" s="26"/>
      <c r="G2" s="26"/>
      <c r="H2" s="26"/>
      <c r="I2" s="26"/>
      <c r="J2" s="26"/>
      <c r="K2" s="26"/>
      <c r="L2" s="26"/>
      <c r="M2" s="26"/>
      <c r="N2" s="26"/>
      <c r="O2" s="26"/>
      <c r="P2" s="26"/>
      <c r="Q2" s="26"/>
      <c r="R2" s="26"/>
      <c r="S2" s="26"/>
      <c r="T2" s="26"/>
      <c r="U2" s="26"/>
      <c r="V2" s="26"/>
      <c r="W2" s="26"/>
    </row>
    <row r="5" spans="2:25" ht="30" customHeight="1" x14ac:dyDescent="0.35">
      <c r="B5" s="15"/>
      <c r="C5" s="15"/>
      <c r="D5" s="29" t="s">
        <v>38</v>
      </c>
      <c r="E5" s="29"/>
      <c r="F5" s="15"/>
      <c r="G5" s="29" t="s">
        <v>39</v>
      </c>
      <c r="H5" s="29"/>
      <c r="I5" s="29"/>
      <c r="J5" s="29"/>
      <c r="K5" s="29"/>
      <c r="L5" s="29"/>
      <c r="M5" s="15"/>
      <c r="N5" s="29" t="s">
        <v>40</v>
      </c>
      <c r="O5" s="29"/>
      <c r="P5" s="29"/>
      <c r="Q5" s="29"/>
      <c r="R5" s="29"/>
      <c r="S5" s="29"/>
      <c r="T5" s="29"/>
      <c r="U5" s="29"/>
      <c r="V5" s="29"/>
      <c r="W5" s="15"/>
      <c r="X5" s="29" t="s">
        <v>41</v>
      </c>
      <c r="Y5" s="29"/>
    </row>
    <row r="6" spans="2:25" ht="29"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row>
    <row r="7" spans="2:25" ht="30" customHeight="1" x14ac:dyDescent="0.35">
      <c r="B7" s="10" t="s">
        <v>19</v>
      </c>
      <c r="C7" s="10">
        <v>6838</v>
      </c>
      <c r="D7" s="10">
        <v>3283</v>
      </c>
      <c r="E7" s="10">
        <v>3541</v>
      </c>
      <c r="F7" s="10"/>
      <c r="G7" s="10">
        <v>635</v>
      </c>
      <c r="H7" s="10">
        <v>1075</v>
      </c>
      <c r="I7" s="10">
        <v>1093</v>
      </c>
      <c r="J7" s="10">
        <v>1228</v>
      </c>
      <c r="K7" s="10">
        <v>1156</v>
      </c>
      <c r="L7" s="10">
        <v>1651</v>
      </c>
      <c r="M7" s="10"/>
      <c r="N7" s="10">
        <v>208</v>
      </c>
      <c r="O7" s="10">
        <v>200</v>
      </c>
      <c r="P7" s="10">
        <v>1002</v>
      </c>
      <c r="Q7" s="10">
        <v>1000</v>
      </c>
      <c r="R7" s="10">
        <v>1004</v>
      </c>
      <c r="S7" s="10">
        <v>1006</v>
      </c>
      <c r="T7" s="10">
        <v>1006</v>
      </c>
      <c r="U7" s="10">
        <v>1007</v>
      </c>
      <c r="V7" s="10">
        <v>405</v>
      </c>
      <c r="W7" s="10"/>
      <c r="X7" s="10">
        <v>2650</v>
      </c>
      <c r="Y7" s="10">
        <v>4188</v>
      </c>
    </row>
    <row r="8" spans="2:25" ht="30" customHeight="1" x14ac:dyDescent="0.35">
      <c r="B8" s="11" t="s">
        <v>20</v>
      </c>
      <c r="C8" s="11">
        <v>6838</v>
      </c>
      <c r="D8" s="11">
        <v>3309</v>
      </c>
      <c r="E8" s="11">
        <v>3515</v>
      </c>
      <c r="F8" s="11"/>
      <c r="G8" s="11">
        <v>645</v>
      </c>
      <c r="H8" s="11">
        <v>1026</v>
      </c>
      <c r="I8" s="11">
        <v>1111</v>
      </c>
      <c r="J8" s="11">
        <v>1184</v>
      </c>
      <c r="K8" s="11">
        <v>1140</v>
      </c>
      <c r="L8" s="11">
        <v>1732</v>
      </c>
      <c r="M8" s="11"/>
      <c r="N8" s="11">
        <v>208</v>
      </c>
      <c r="O8" s="11">
        <v>200</v>
      </c>
      <c r="P8" s="11">
        <v>1002</v>
      </c>
      <c r="Q8" s="11">
        <v>1000</v>
      </c>
      <c r="R8" s="11">
        <v>1004</v>
      </c>
      <c r="S8" s="11">
        <v>1006</v>
      </c>
      <c r="T8" s="11">
        <v>1006</v>
      </c>
      <c r="U8" s="11">
        <v>1007</v>
      </c>
      <c r="V8" s="11">
        <v>405</v>
      </c>
      <c r="W8" s="11"/>
      <c r="X8" s="11">
        <v>2436</v>
      </c>
      <c r="Y8" s="11">
        <v>4402</v>
      </c>
    </row>
    <row r="9" spans="2:25" x14ac:dyDescent="0.35">
      <c r="B9" s="18" t="s">
        <v>85</v>
      </c>
      <c r="C9" s="17">
        <v>0.48272787761509001</v>
      </c>
      <c r="D9" s="17">
        <v>0.46477019125294899</v>
      </c>
      <c r="E9" s="17">
        <v>0.49904047016476</v>
      </c>
      <c r="F9" s="17"/>
      <c r="G9" s="17">
        <v>0.61729356169962102</v>
      </c>
      <c r="H9" s="17">
        <v>0.60412333453897105</v>
      </c>
      <c r="I9" s="17">
        <v>0.54590755101478405</v>
      </c>
      <c r="J9" s="17">
        <v>0.51363256766130405</v>
      </c>
      <c r="K9" s="17">
        <v>0.44119411307384998</v>
      </c>
      <c r="L9" s="17">
        <v>0.32647827805024299</v>
      </c>
      <c r="M9" s="17"/>
      <c r="N9" s="17">
        <v>0.58575233112853897</v>
      </c>
      <c r="O9" s="17">
        <v>0.49743598970403202</v>
      </c>
      <c r="P9" s="17">
        <v>0.44200470021239402</v>
      </c>
      <c r="Q9" s="17">
        <v>0.46531489001304399</v>
      </c>
      <c r="R9" s="17">
        <v>0.43047566728553699</v>
      </c>
      <c r="S9" s="17">
        <v>0.56441320333416101</v>
      </c>
      <c r="T9" s="17">
        <v>0.62746339120050398</v>
      </c>
      <c r="U9" s="17">
        <v>0.301552784912896</v>
      </c>
      <c r="V9" s="17">
        <v>0.58389349685615299</v>
      </c>
      <c r="W9" s="17"/>
      <c r="X9" s="17">
        <v>0.53008511523382296</v>
      </c>
      <c r="Y9" s="17">
        <v>0.45652196755776198</v>
      </c>
    </row>
    <row r="10" spans="2:25" x14ac:dyDescent="0.35">
      <c r="B10" s="18" t="s">
        <v>86</v>
      </c>
      <c r="C10" s="17">
        <v>0.26178791393412598</v>
      </c>
      <c r="D10" s="17">
        <v>0.26849309878948502</v>
      </c>
      <c r="E10" s="17">
        <v>0.25598081727697802</v>
      </c>
      <c r="F10" s="17"/>
      <c r="G10" s="17">
        <v>0.226995700376909</v>
      </c>
      <c r="H10" s="17">
        <v>0.25473583169960301</v>
      </c>
      <c r="I10" s="17">
        <v>0.27373542775658599</v>
      </c>
      <c r="J10" s="17">
        <v>0.26563168462088699</v>
      </c>
      <c r="K10" s="17">
        <v>0.27477041285392101</v>
      </c>
      <c r="L10" s="17">
        <v>0.26007471491047601</v>
      </c>
      <c r="M10" s="17"/>
      <c r="N10" s="17">
        <v>0.20334439129256601</v>
      </c>
      <c r="O10" s="17">
        <v>0.213184409561196</v>
      </c>
      <c r="P10" s="17">
        <v>0.25735573737346301</v>
      </c>
      <c r="Q10" s="17">
        <v>0.231724138014853</v>
      </c>
      <c r="R10" s="17">
        <v>0.33759979856044398</v>
      </c>
      <c r="S10" s="17">
        <v>0.21552171635188</v>
      </c>
      <c r="T10" s="17">
        <v>0.229207933750359</v>
      </c>
      <c r="U10" s="17">
        <v>0.33061161961757901</v>
      </c>
      <c r="V10" s="17">
        <v>0.23778895458014099</v>
      </c>
      <c r="W10" s="17"/>
      <c r="X10" s="17">
        <v>0.24558119359126299</v>
      </c>
      <c r="Y10" s="17">
        <v>0.27075617046649902</v>
      </c>
    </row>
    <row r="11" spans="2:25" ht="29" x14ac:dyDescent="0.35">
      <c r="B11" s="18" t="s">
        <v>181</v>
      </c>
      <c r="C11" s="17">
        <v>0.117109159997526</v>
      </c>
      <c r="D11" s="17">
        <v>0.12536609544531699</v>
      </c>
      <c r="E11" s="17">
        <v>0.10918440800377099</v>
      </c>
      <c r="F11" s="17"/>
      <c r="G11" s="17">
        <v>9.9132407068203005E-2</v>
      </c>
      <c r="H11" s="17">
        <v>0.10171660654331301</v>
      </c>
      <c r="I11" s="17">
        <v>0.115401348427881</v>
      </c>
      <c r="J11" s="17">
        <v>0.117485063175819</v>
      </c>
      <c r="K11" s="17">
        <v>0.109763630133643</v>
      </c>
      <c r="L11" s="17">
        <v>0.13858488835541499</v>
      </c>
      <c r="M11" s="17"/>
      <c r="N11" s="17">
        <v>8.6314134666458694E-2</v>
      </c>
      <c r="O11" s="17">
        <v>0.12699391775677199</v>
      </c>
      <c r="P11" s="17">
        <v>0.114392486199693</v>
      </c>
      <c r="Q11" s="17">
        <v>0.127250696480152</v>
      </c>
      <c r="R11" s="17">
        <v>0.12927940126495799</v>
      </c>
      <c r="S11" s="17">
        <v>9.66843291835809E-2</v>
      </c>
      <c r="T11" s="17">
        <v>8.8459268072514696E-2</v>
      </c>
      <c r="U11" s="17">
        <v>0.16990258621009699</v>
      </c>
      <c r="V11" s="17">
        <v>7.0186327964559397E-2</v>
      </c>
      <c r="W11" s="17"/>
      <c r="X11" s="17">
        <v>0.111591513569088</v>
      </c>
      <c r="Y11" s="17">
        <v>0.12016244083277899</v>
      </c>
    </row>
    <row r="12" spans="2:25" x14ac:dyDescent="0.35">
      <c r="B12" s="18" t="s">
        <v>88</v>
      </c>
      <c r="C12" s="17">
        <v>4.0092956011060901E-2</v>
      </c>
      <c r="D12" s="17">
        <v>4.1520888790150097E-2</v>
      </c>
      <c r="E12" s="17">
        <v>3.8909127630585703E-2</v>
      </c>
      <c r="F12" s="17"/>
      <c r="G12" s="17">
        <v>3.30401051592107E-2</v>
      </c>
      <c r="H12" s="17">
        <v>2.01152373154929E-2</v>
      </c>
      <c r="I12" s="17">
        <v>2.1393612006277301E-2</v>
      </c>
      <c r="J12" s="17">
        <v>3.6841725536032099E-2</v>
      </c>
      <c r="K12" s="17">
        <v>4.9070072271521402E-2</v>
      </c>
      <c r="L12" s="17">
        <v>6.2851718709930796E-2</v>
      </c>
      <c r="M12" s="17"/>
      <c r="N12" s="17">
        <v>2.4171278409530199E-2</v>
      </c>
      <c r="O12" s="17">
        <v>5.9212304426394302E-2</v>
      </c>
      <c r="P12" s="17">
        <v>4.2094436612996701E-2</v>
      </c>
      <c r="Q12" s="17">
        <v>3.6209975694799203E-2</v>
      </c>
      <c r="R12" s="17">
        <v>3.9696235567343002E-2</v>
      </c>
      <c r="S12" s="17">
        <v>2.2864510640245798E-2</v>
      </c>
      <c r="T12" s="17">
        <v>2.08319640174763E-2</v>
      </c>
      <c r="U12" s="17">
        <v>8.4436984716204394E-2</v>
      </c>
      <c r="V12" s="17">
        <v>2.48277224781553E-2</v>
      </c>
      <c r="W12" s="17"/>
      <c r="X12" s="17">
        <v>3.5041906405787498E-2</v>
      </c>
      <c r="Y12" s="17">
        <v>4.2888037783282699E-2</v>
      </c>
    </row>
    <row r="13" spans="2:25" x14ac:dyDescent="0.35">
      <c r="B13" s="18" t="s">
        <v>89</v>
      </c>
      <c r="C13" s="17">
        <v>5.0635406128093398E-2</v>
      </c>
      <c r="D13" s="17">
        <v>5.2103711613103197E-2</v>
      </c>
      <c r="E13" s="17">
        <v>4.9455755531826198E-2</v>
      </c>
      <c r="F13" s="17"/>
      <c r="G13" s="17">
        <v>9.4623174802558E-3</v>
      </c>
      <c r="H13" s="17">
        <v>7.8594102168107992E-3</v>
      </c>
      <c r="I13" s="17">
        <v>2.2303213644854301E-2</v>
      </c>
      <c r="J13" s="17">
        <v>3.2816857914339401E-2</v>
      </c>
      <c r="K13" s="17">
        <v>6.7351767302374202E-2</v>
      </c>
      <c r="L13" s="17">
        <v>0.110627599045879</v>
      </c>
      <c r="M13" s="17"/>
      <c r="N13" s="17">
        <v>3.1401764326774502E-2</v>
      </c>
      <c r="O13" s="17">
        <v>5.5159948783381402E-2</v>
      </c>
      <c r="P13" s="17">
        <v>8.84802125265991E-2</v>
      </c>
      <c r="Q13" s="17">
        <v>8.0353223415477196E-2</v>
      </c>
      <c r="R13" s="17">
        <v>2.87475503383273E-2</v>
      </c>
      <c r="S13" s="17">
        <v>4.3442244841344797E-2</v>
      </c>
      <c r="T13" s="17">
        <v>1.04236095251892E-2</v>
      </c>
      <c r="U13" s="17">
        <v>5.9080169741174103E-2</v>
      </c>
      <c r="V13" s="17">
        <v>4.22855136749428E-2</v>
      </c>
      <c r="W13" s="17"/>
      <c r="X13" s="17">
        <v>3.9871333041202099E-2</v>
      </c>
      <c r="Y13" s="17">
        <v>5.6591883856726699E-2</v>
      </c>
    </row>
    <row r="14" spans="2:25" x14ac:dyDescent="0.35">
      <c r="B14" s="18" t="s">
        <v>69</v>
      </c>
      <c r="C14" s="17">
        <v>4.76466863141033E-2</v>
      </c>
      <c r="D14" s="17">
        <v>4.7746014108995503E-2</v>
      </c>
      <c r="E14" s="17">
        <v>4.7429421392079001E-2</v>
      </c>
      <c r="F14" s="17"/>
      <c r="G14" s="17">
        <v>1.4075908215800501E-2</v>
      </c>
      <c r="H14" s="17">
        <v>1.1449579685809E-2</v>
      </c>
      <c r="I14" s="17">
        <v>2.1258847149617201E-2</v>
      </c>
      <c r="J14" s="17">
        <v>3.35921010916184E-2</v>
      </c>
      <c r="K14" s="17">
        <v>5.7850004364690302E-2</v>
      </c>
      <c r="L14" s="17">
        <v>0.101382800928056</v>
      </c>
      <c r="M14" s="17"/>
      <c r="N14" s="17">
        <v>6.90161001761318E-2</v>
      </c>
      <c r="O14" s="17">
        <v>4.80134297682248E-2</v>
      </c>
      <c r="P14" s="17">
        <v>5.5672427074854397E-2</v>
      </c>
      <c r="Q14" s="17">
        <v>5.9147076381675198E-2</v>
      </c>
      <c r="R14" s="17">
        <v>3.4201346983389801E-2</v>
      </c>
      <c r="S14" s="17">
        <v>5.7073995648787297E-2</v>
      </c>
      <c r="T14" s="17">
        <v>2.3613833433956701E-2</v>
      </c>
      <c r="U14" s="17">
        <v>5.4415854802050599E-2</v>
      </c>
      <c r="V14" s="17">
        <v>4.10179844460489E-2</v>
      </c>
      <c r="W14" s="17"/>
      <c r="X14" s="17">
        <v>3.7828938158836298E-2</v>
      </c>
      <c r="Y14" s="17">
        <v>5.3079499502950503E-2</v>
      </c>
    </row>
    <row r="15" spans="2:25" x14ac:dyDescent="0.35">
      <c r="B15" s="18" t="s">
        <v>90</v>
      </c>
      <c r="C15" s="21">
        <v>0.74451579154921599</v>
      </c>
      <c r="D15" s="21">
        <v>0.73326329004243396</v>
      </c>
      <c r="E15" s="21">
        <v>0.75502128744173802</v>
      </c>
      <c r="F15" s="21"/>
      <c r="G15" s="21">
        <v>0.84428926207652999</v>
      </c>
      <c r="H15" s="21">
        <v>0.85885916623857395</v>
      </c>
      <c r="I15" s="21">
        <v>0.81964297877137005</v>
      </c>
      <c r="J15" s="21">
        <v>0.77926425228219098</v>
      </c>
      <c r="K15" s="21">
        <v>0.71596452592777104</v>
      </c>
      <c r="L15" s="21">
        <v>0.58655299296071906</v>
      </c>
      <c r="M15" s="21"/>
      <c r="N15" s="21">
        <v>0.78909672242110496</v>
      </c>
      <c r="O15" s="21">
        <v>0.71062039926522802</v>
      </c>
      <c r="P15" s="21">
        <v>0.69936043758585698</v>
      </c>
      <c r="Q15" s="21">
        <v>0.69703902802789697</v>
      </c>
      <c r="R15" s="21">
        <v>0.76807546584598196</v>
      </c>
      <c r="S15" s="21">
        <v>0.77993491968604101</v>
      </c>
      <c r="T15" s="21">
        <v>0.85667132495086296</v>
      </c>
      <c r="U15" s="21">
        <v>0.63216440453047396</v>
      </c>
      <c r="V15" s="21">
        <v>0.82168245143629404</v>
      </c>
      <c r="W15" s="21"/>
      <c r="X15" s="21">
        <v>0.77566630882508603</v>
      </c>
      <c r="Y15" s="21">
        <v>0.727278138024261</v>
      </c>
    </row>
    <row r="16" spans="2:25" x14ac:dyDescent="0.35">
      <c r="B16" s="18" t="s">
        <v>91</v>
      </c>
      <c r="C16" s="21">
        <v>9.0728362139154306E-2</v>
      </c>
      <c r="D16" s="21">
        <v>9.3624600403253294E-2</v>
      </c>
      <c r="E16" s="21">
        <v>8.8364883162412006E-2</v>
      </c>
      <c r="F16" s="21"/>
      <c r="G16" s="21">
        <v>4.2502422639466499E-2</v>
      </c>
      <c r="H16" s="21">
        <v>2.7974647532303699E-2</v>
      </c>
      <c r="I16" s="21">
        <v>4.3696825651131602E-2</v>
      </c>
      <c r="J16" s="21">
        <v>6.96585834503715E-2</v>
      </c>
      <c r="K16" s="21">
        <v>0.116421839573896</v>
      </c>
      <c r="L16" s="21">
        <v>0.17347931775580999</v>
      </c>
      <c r="M16" s="21"/>
      <c r="N16" s="21">
        <v>5.5573042736304701E-2</v>
      </c>
      <c r="O16" s="21">
        <v>0.114372253209776</v>
      </c>
      <c r="P16" s="21">
        <v>0.13057464913959599</v>
      </c>
      <c r="Q16" s="21">
        <v>0.116563199110276</v>
      </c>
      <c r="R16" s="21">
        <v>6.8443785905670296E-2</v>
      </c>
      <c r="S16" s="21">
        <v>6.6306755481590707E-2</v>
      </c>
      <c r="T16" s="21">
        <v>3.1255573542665602E-2</v>
      </c>
      <c r="U16" s="21">
        <v>0.143517154457379</v>
      </c>
      <c r="V16" s="21">
        <v>6.7113236153098096E-2</v>
      </c>
      <c r="W16" s="21"/>
      <c r="X16" s="21">
        <v>7.4913239446989605E-2</v>
      </c>
      <c r="Y16" s="21">
        <v>9.9479921640009406E-2</v>
      </c>
    </row>
    <row r="17" spans="2:25" x14ac:dyDescent="0.35">
      <c r="B17" s="18" t="s">
        <v>92</v>
      </c>
      <c r="C17" s="22">
        <v>0.65378742941006096</v>
      </c>
      <c r="D17" s="22">
        <v>0.63963868963918102</v>
      </c>
      <c r="E17" s="22">
        <v>0.66665640427932604</v>
      </c>
      <c r="F17" s="22"/>
      <c r="G17" s="22">
        <v>0.80178683943706397</v>
      </c>
      <c r="H17" s="22">
        <v>0.830884518706271</v>
      </c>
      <c r="I17" s="22">
        <v>0.77594615312023896</v>
      </c>
      <c r="J17" s="22">
        <v>0.70960566883181897</v>
      </c>
      <c r="K17" s="22">
        <v>0.59954268635387498</v>
      </c>
      <c r="L17" s="22">
        <v>0.41307367520490901</v>
      </c>
      <c r="M17" s="22"/>
      <c r="N17" s="22">
        <v>0.73352367968480003</v>
      </c>
      <c r="O17" s="22">
        <v>0.59624814605545196</v>
      </c>
      <c r="P17" s="22">
        <v>0.56878578844626104</v>
      </c>
      <c r="Q17" s="22">
        <v>0.58047582891761995</v>
      </c>
      <c r="R17" s="22">
        <v>0.69963167994031095</v>
      </c>
      <c r="S17" s="22">
        <v>0.71362816420444997</v>
      </c>
      <c r="T17" s="22">
        <v>0.82541575140819801</v>
      </c>
      <c r="U17" s="22">
        <v>0.48864725007309601</v>
      </c>
      <c r="V17" s="22">
        <v>0.75456921528319498</v>
      </c>
      <c r="W17" s="22"/>
      <c r="X17" s="22">
        <v>0.70075306937809601</v>
      </c>
      <c r="Y17" s="22">
        <v>0.62779821638425104</v>
      </c>
    </row>
    <row r="18" spans="2:25" x14ac:dyDescent="0.35">
      <c r="B18" s="16"/>
    </row>
    <row r="19" spans="2:25" x14ac:dyDescent="0.35">
      <c r="B19" t="s">
        <v>51</v>
      </c>
    </row>
    <row r="20" spans="2:25" x14ac:dyDescent="0.35">
      <c r="B20" t="s">
        <v>52</v>
      </c>
    </row>
    <row r="22" spans="2:25" x14ac:dyDescent="0.35">
      <c r="B22" s="8" t="str">
        <f>HYPERLINK("#'Contents'!A1", "Return to Contents")</f>
        <v>Return to Contents</v>
      </c>
    </row>
  </sheetData>
  <mergeCells count="5">
    <mergeCell ref="D5:E5"/>
    <mergeCell ref="G5:L5"/>
    <mergeCell ref="N5:V5"/>
    <mergeCell ref="X5:Y5"/>
    <mergeCell ref="D2:W2"/>
  </mergeCells>
  <pageMargins left="0.7" right="0.7" top="0.75" bottom="0.75" header="0.3" footer="0.3"/>
  <pageSetup paperSize="9" orientation="portrait" horizontalDpi="300" verticalDpi="300"/>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B2:Y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s>
  <sheetData>
    <row r="2" spans="2:25" ht="40" customHeight="1" x14ac:dyDescent="0.35">
      <c r="D2" s="30" t="s">
        <v>188</v>
      </c>
      <c r="E2" s="26"/>
      <c r="F2" s="26"/>
      <c r="G2" s="26"/>
      <c r="H2" s="26"/>
      <c r="I2" s="26"/>
      <c r="J2" s="26"/>
      <c r="K2" s="26"/>
      <c r="L2" s="26"/>
      <c r="M2" s="26"/>
      <c r="N2" s="26"/>
      <c r="O2" s="26"/>
      <c r="P2" s="26"/>
      <c r="Q2" s="26"/>
      <c r="R2" s="26"/>
      <c r="S2" s="26"/>
      <c r="T2" s="26"/>
      <c r="U2" s="26"/>
      <c r="V2" s="26"/>
      <c r="W2" s="26"/>
    </row>
    <row r="5" spans="2:25" ht="30" customHeight="1" x14ac:dyDescent="0.35">
      <c r="B5" s="15"/>
      <c r="C5" s="15"/>
      <c r="D5" s="29" t="s">
        <v>38</v>
      </c>
      <c r="E5" s="29"/>
      <c r="F5" s="15"/>
      <c r="G5" s="29" t="s">
        <v>39</v>
      </c>
      <c r="H5" s="29"/>
      <c r="I5" s="29"/>
      <c r="J5" s="29"/>
      <c r="K5" s="29"/>
      <c r="L5" s="29"/>
      <c r="M5" s="15"/>
      <c r="N5" s="29" t="s">
        <v>40</v>
      </c>
      <c r="O5" s="29"/>
      <c r="P5" s="29"/>
      <c r="Q5" s="29"/>
      <c r="R5" s="29"/>
      <c r="S5" s="29"/>
      <c r="T5" s="29"/>
      <c r="U5" s="29"/>
      <c r="V5" s="29"/>
      <c r="W5" s="15"/>
      <c r="X5" s="29" t="s">
        <v>41</v>
      </c>
      <c r="Y5" s="29"/>
    </row>
    <row r="6" spans="2:25" ht="29"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row>
    <row r="7" spans="2:25" ht="30" customHeight="1" x14ac:dyDescent="0.35">
      <c r="B7" s="10" t="s">
        <v>19</v>
      </c>
      <c r="C7" s="10">
        <v>6838</v>
      </c>
      <c r="D7" s="10">
        <v>3283</v>
      </c>
      <c r="E7" s="10">
        <v>3541</v>
      </c>
      <c r="F7" s="10"/>
      <c r="G7" s="10">
        <v>635</v>
      </c>
      <c r="H7" s="10">
        <v>1075</v>
      </c>
      <c r="I7" s="10">
        <v>1093</v>
      </c>
      <c r="J7" s="10">
        <v>1228</v>
      </c>
      <c r="K7" s="10">
        <v>1156</v>
      </c>
      <c r="L7" s="10">
        <v>1651</v>
      </c>
      <c r="M7" s="10"/>
      <c r="N7" s="10">
        <v>208</v>
      </c>
      <c r="O7" s="10">
        <v>200</v>
      </c>
      <c r="P7" s="10">
        <v>1002</v>
      </c>
      <c r="Q7" s="10">
        <v>1000</v>
      </c>
      <c r="R7" s="10">
        <v>1004</v>
      </c>
      <c r="S7" s="10">
        <v>1006</v>
      </c>
      <c r="T7" s="10">
        <v>1006</v>
      </c>
      <c r="U7" s="10">
        <v>1007</v>
      </c>
      <c r="V7" s="10">
        <v>405</v>
      </c>
      <c r="W7" s="10"/>
      <c r="X7" s="10">
        <v>2650</v>
      </c>
      <c r="Y7" s="10">
        <v>4188</v>
      </c>
    </row>
    <row r="8" spans="2:25" ht="30" customHeight="1" x14ac:dyDescent="0.35">
      <c r="B8" s="11" t="s">
        <v>20</v>
      </c>
      <c r="C8" s="11">
        <v>6838</v>
      </c>
      <c r="D8" s="11">
        <v>3309</v>
      </c>
      <c r="E8" s="11">
        <v>3515</v>
      </c>
      <c r="F8" s="11"/>
      <c r="G8" s="11">
        <v>645</v>
      </c>
      <c r="H8" s="11">
        <v>1026</v>
      </c>
      <c r="I8" s="11">
        <v>1111</v>
      </c>
      <c r="J8" s="11">
        <v>1184</v>
      </c>
      <c r="K8" s="11">
        <v>1140</v>
      </c>
      <c r="L8" s="11">
        <v>1732</v>
      </c>
      <c r="M8" s="11"/>
      <c r="N8" s="11">
        <v>208</v>
      </c>
      <c r="O8" s="11">
        <v>200</v>
      </c>
      <c r="P8" s="11">
        <v>1002</v>
      </c>
      <c r="Q8" s="11">
        <v>1000</v>
      </c>
      <c r="R8" s="11">
        <v>1004</v>
      </c>
      <c r="S8" s="11">
        <v>1006</v>
      </c>
      <c r="T8" s="11">
        <v>1006</v>
      </c>
      <c r="U8" s="11">
        <v>1007</v>
      </c>
      <c r="V8" s="11">
        <v>405</v>
      </c>
      <c r="W8" s="11"/>
      <c r="X8" s="11">
        <v>2436</v>
      </c>
      <c r="Y8" s="11">
        <v>4402</v>
      </c>
    </row>
    <row r="9" spans="2:25" x14ac:dyDescent="0.35">
      <c r="B9" s="18" t="s">
        <v>85</v>
      </c>
      <c r="C9" s="17">
        <v>0.26773507676122998</v>
      </c>
      <c r="D9" s="17">
        <v>0.30984567084091102</v>
      </c>
      <c r="E9" s="17">
        <v>0.22805508508636199</v>
      </c>
      <c r="F9" s="17"/>
      <c r="G9" s="17">
        <v>0.28271470132207899</v>
      </c>
      <c r="H9" s="17">
        <v>0.34461029374222102</v>
      </c>
      <c r="I9" s="17">
        <v>0.29762675217081302</v>
      </c>
      <c r="J9" s="17">
        <v>0.27185518258993802</v>
      </c>
      <c r="K9" s="17">
        <v>0.250820400838074</v>
      </c>
      <c r="L9" s="17">
        <v>0.20579548509957099</v>
      </c>
      <c r="M9" s="17"/>
      <c r="N9" s="17">
        <v>0.38421988420168002</v>
      </c>
      <c r="O9" s="17">
        <v>0.26574895676315702</v>
      </c>
      <c r="P9" s="17">
        <v>0.26734005098395103</v>
      </c>
      <c r="Q9" s="17">
        <v>0.32002223566414301</v>
      </c>
      <c r="R9" s="17">
        <v>0.24728675939815101</v>
      </c>
      <c r="S9" s="17">
        <v>0.295055045428536</v>
      </c>
      <c r="T9" s="17">
        <v>0.19872986001950399</v>
      </c>
      <c r="U9" s="17">
        <v>0.246467621815562</v>
      </c>
      <c r="V9" s="17">
        <v>0.28788035652322302</v>
      </c>
      <c r="W9" s="17"/>
      <c r="X9" s="17">
        <v>0.37700481497774802</v>
      </c>
      <c r="Y9" s="17">
        <v>0.20726886133828601</v>
      </c>
    </row>
    <row r="10" spans="2:25" x14ac:dyDescent="0.35">
      <c r="B10" s="18" t="s">
        <v>86</v>
      </c>
      <c r="C10" s="17">
        <v>0.25184930465771199</v>
      </c>
      <c r="D10" s="17">
        <v>0.26705877653167998</v>
      </c>
      <c r="E10" s="17">
        <v>0.237948095462096</v>
      </c>
      <c r="F10" s="17"/>
      <c r="G10" s="17">
        <v>0.31142556964646601</v>
      </c>
      <c r="H10" s="17">
        <v>0.31133499250066998</v>
      </c>
      <c r="I10" s="17">
        <v>0.28575233456742</v>
      </c>
      <c r="J10" s="17">
        <v>0.25458964724372402</v>
      </c>
      <c r="K10" s="17">
        <v>0.22206500464672899</v>
      </c>
      <c r="L10" s="17">
        <v>0.19044836143125399</v>
      </c>
      <c r="M10" s="17"/>
      <c r="N10" s="17">
        <v>0.25976195823967702</v>
      </c>
      <c r="O10" s="17">
        <v>0.29846718047815002</v>
      </c>
      <c r="P10" s="17">
        <v>0.25094709035734297</v>
      </c>
      <c r="Q10" s="17">
        <v>0.244009234945024</v>
      </c>
      <c r="R10" s="17">
        <v>0.32287642815197898</v>
      </c>
      <c r="S10" s="17">
        <v>0.20683154582188701</v>
      </c>
      <c r="T10" s="17">
        <v>0.20985939453701399</v>
      </c>
      <c r="U10" s="17">
        <v>0.26700026293599699</v>
      </c>
      <c r="V10" s="17">
        <v>0.248728685715253</v>
      </c>
      <c r="W10" s="17"/>
      <c r="X10" s="17">
        <v>0.282338961030831</v>
      </c>
      <c r="Y10" s="17">
        <v>0.23497734943461501</v>
      </c>
    </row>
    <row r="11" spans="2:25" ht="29" x14ac:dyDescent="0.35">
      <c r="B11" s="18" t="s">
        <v>181</v>
      </c>
      <c r="C11" s="17">
        <v>0.18999264502718</v>
      </c>
      <c r="D11" s="17">
        <v>0.18941466335559201</v>
      </c>
      <c r="E11" s="17">
        <v>0.18955203405319701</v>
      </c>
      <c r="F11" s="17"/>
      <c r="G11" s="17">
        <v>0.23259865356366699</v>
      </c>
      <c r="H11" s="17">
        <v>0.18422185100270899</v>
      </c>
      <c r="I11" s="17">
        <v>0.20728841184219701</v>
      </c>
      <c r="J11" s="17">
        <v>0.20328363281751</v>
      </c>
      <c r="K11" s="17">
        <v>0.175032442096719</v>
      </c>
      <c r="L11" s="17">
        <v>0.167223478525169</v>
      </c>
      <c r="M11" s="17"/>
      <c r="N11" s="17">
        <v>0.158727666584421</v>
      </c>
      <c r="O11" s="17">
        <v>0.195202433950176</v>
      </c>
      <c r="P11" s="17">
        <v>0.16425191604307501</v>
      </c>
      <c r="Q11" s="17">
        <v>0.17001416473084699</v>
      </c>
      <c r="R11" s="17">
        <v>0.185995241866491</v>
      </c>
      <c r="S11" s="17">
        <v>0.17537282981206501</v>
      </c>
      <c r="T11" s="17">
        <v>0.23011397790065699</v>
      </c>
      <c r="U11" s="17">
        <v>0.22949551836652099</v>
      </c>
      <c r="V11" s="17">
        <v>0.164835412993111</v>
      </c>
      <c r="W11" s="17"/>
      <c r="X11" s="17">
        <v>0.156876773551379</v>
      </c>
      <c r="Y11" s="17">
        <v>0.20831785977791401</v>
      </c>
    </row>
    <row r="12" spans="2:25" x14ac:dyDescent="0.35">
      <c r="B12" s="18" t="s">
        <v>88</v>
      </c>
      <c r="C12" s="17">
        <v>9.4181852186355497E-2</v>
      </c>
      <c r="D12" s="17">
        <v>8.9120055324915196E-2</v>
      </c>
      <c r="E12" s="17">
        <v>9.8999339940568698E-2</v>
      </c>
      <c r="F12" s="17"/>
      <c r="G12" s="17">
        <v>9.3956784384863407E-2</v>
      </c>
      <c r="H12" s="17">
        <v>7.6270879118482904E-2</v>
      </c>
      <c r="I12" s="17">
        <v>8.8026864540701494E-2</v>
      </c>
      <c r="J12" s="17">
        <v>8.53985370513973E-2</v>
      </c>
      <c r="K12" s="17">
        <v>0.101151031568897</v>
      </c>
      <c r="L12" s="17">
        <v>0.110231591469203</v>
      </c>
      <c r="M12" s="17"/>
      <c r="N12" s="17">
        <v>9.5755853902123697E-2</v>
      </c>
      <c r="O12" s="17">
        <v>8.6626498318052594E-2</v>
      </c>
      <c r="P12" s="17">
        <v>0.10278880692160999</v>
      </c>
      <c r="Q12" s="17">
        <v>9.9218690169754098E-2</v>
      </c>
      <c r="R12" s="17">
        <v>9.3069888997403302E-2</v>
      </c>
      <c r="S12" s="17">
        <v>7.9739437421420298E-2</v>
      </c>
      <c r="T12" s="17">
        <v>0.13526540499666601</v>
      </c>
      <c r="U12" s="17">
        <v>5.3633211293676201E-2</v>
      </c>
      <c r="V12" s="17">
        <v>0.100775875237332</v>
      </c>
      <c r="W12" s="17"/>
      <c r="X12" s="17">
        <v>7.003338534728E-2</v>
      </c>
      <c r="Y12" s="17">
        <v>0.107544805386921</v>
      </c>
    </row>
    <row r="13" spans="2:25" x14ac:dyDescent="0.35">
      <c r="B13" s="18" t="s">
        <v>89</v>
      </c>
      <c r="C13" s="17">
        <v>0.110007431864226</v>
      </c>
      <c r="D13" s="17">
        <v>8.2944569458512196E-2</v>
      </c>
      <c r="E13" s="17">
        <v>0.135924611541132</v>
      </c>
      <c r="F13" s="17"/>
      <c r="G13" s="17">
        <v>4.0986749397782102E-2</v>
      </c>
      <c r="H13" s="17">
        <v>5.5506517576002001E-2</v>
      </c>
      <c r="I13" s="17">
        <v>6.2966898610626501E-2</v>
      </c>
      <c r="J13" s="17">
        <v>9.7591543922466897E-2</v>
      </c>
      <c r="K13" s="17">
        <v>0.148119236390227</v>
      </c>
      <c r="L13" s="17">
        <v>0.181529708797631</v>
      </c>
      <c r="M13" s="17"/>
      <c r="N13" s="17">
        <v>6.1936238663061798E-2</v>
      </c>
      <c r="O13" s="17">
        <v>0.12852255611431199</v>
      </c>
      <c r="P13" s="17">
        <v>0.12347240931825899</v>
      </c>
      <c r="Q13" s="17">
        <v>0.12311440920604599</v>
      </c>
      <c r="R13" s="17">
        <v>6.1943194713891002E-2</v>
      </c>
      <c r="S13" s="17">
        <v>0.12609326508112101</v>
      </c>
      <c r="T13" s="17">
        <v>0.15156904289689599</v>
      </c>
      <c r="U13" s="17">
        <v>6.1504952741720999E-2</v>
      </c>
      <c r="V13" s="17">
        <v>0.156432271976082</v>
      </c>
      <c r="W13" s="17"/>
      <c r="X13" s="17">
        <v>7.1676822758482306E-2</v>
      </c>
      <c r="Y13" s="17">
        <v>0.131218307860726</v>
      </c>
    </row>
    <row r="14" spans="2:25" x14ac:dyDescent="0.35">
      <c r="B14" s="18" t="s">
        <v>69</v>
      </c>
      <c r="C14" s="17">
        <v>8.6233689503297101E-2</v>
      </c>
      <c r="D14" s="17">
        <v>6.1616264488389902E-2</v>
      </c>
      <c r="E14" s="17">
        <v>0.10952083391664399</v>
      </c>
      <c r="F14" s="17"/>
      <c r="G14" s="17">
        <v>3.8317541685142897E-2</v>
      </c>
      <c r="H14" s="17">
        <v>2.80554660599153E-2</v>
      </c>
      <c r="I14" s="17">
        <v>5.8338738268241902E-2</v>
      </c>
      <c r="J14" s="17">
        <v>8.7281456374963595E-2</v>
      </c>
      <c r="K14" s="17">
        <v>0.10281188445935301</v>
      </c>
      <c r="L14" s="17">
        <v>0.14477137467717199</v>
      </c>
      <c r="M14" s="17"/>
      <c r="N14" s="17">
        <v>3.9598398409037297E-2</v>
      </c>
      <c r="O14" s="17">
        <v>2.5432374376151999E-2</v>
      </c>
      <c r="P14" s="17">
        <v>9.1199726375762499E-2</v>
      </c>
      <c r="Q14" s="17">
        <v>4.3621265284186098E-2</v>
      </c>
      <c r="R14" s="17">
        <v>8.8828486872083806E-2</v>
      </c>
      <c r="S14" s="17">
        <v>0.116907876434971</v>
      </c>
      <c r="T14" s="17">
        <v>7.4462319649262601E-2</v>
      </c>
      <c r="U14" s="17">
        <v>0.14189843284652401</v>
      </c>
      <c r="V14" s="17">
        <v>4.1347397555000297E-2</v>
      </c>
      <c r="W14" s="17"/>
      <c r="X14" s="17">
        <v>4.2069242334279298E-2</v>
      </c>
      <c r="Y14" s="17">
        <v>0.110672816201537</v>
      </c>
    </row>
    <row r="15" spans="2:25" x14ac:dyDescent="0.35">
      <c r="B15" s="18" t="s">
        <v>90</v>
      </c>
      <c r="C15" s="21">
        <v>0.51958438141894103</v>
      </c>
      <c r="D15" s="21">
        <v>0.57690444737259094</v>
      </c>
      <c r="E15" s="21">
        <v>0.46600318054845802</v>
      </c>
      <c r="F15" s="21"/>
      <c r="G15" s="21">
        <v>0.59414027096854505</v>
      </c>
      <c r="H15" s="21">
        <v>0.65594528624289095</v>
      </c>
      <c r="I15" s="21">
        <v>0.58337908673823302</v>
      </c>
      <c r="J15" s="21">
        <v>0.52644482983366203</v>
      </c>
      <c r="K15" s="21">
        <v>0.47288540548480301</v>
      </c>
      <c r="L15" s="21">
        <v>0.39624384653082501</v>
      </c>
      <c r="M15" s="21"/>
      <c r="N15" s="21">
        <v>0.64398184244135603</v>
      </c>
      <c r="O15" s="21">
        <v>0.56421613724130704</v>
      </c>
      <c r="P15" s="21">
        <v>0.51828714134129295</v>
      </c>
      <c r="Q15" s="21">
        <v>0.56403147060916603</v>
      </c>
      <c r="R15" s="21">
        <v>0.57016318755013096</v>
      </c>
      <c r="S15" s="21">
        <v>0.50188659125042301</v>
      </c>
      <c r="T15" s="21">
        <v>0.40858925455651801</v>
      </c>
      <c r="U15" s="21">
        <v>0.51346788475155902</v>
      </c>
      <c r="V15" s="21">
        <v>0.53660904223847605</v>
      </c>
      <c r="W15" s="21"/>
      <c r="X15" s="21">
        <v>0.65934377600857896</v>
      </c>
      <c r="Y15" s="21">
        <v>0.44224621077290099</v>
      </c>
    </row>
    <row r="16" spans="2:25" x14ac:dyDescent="0.35">
      <c r="B16" s="18" t="s">
        <v>91</v>
      </c>
      <c r="C16" s="21">
        <v>0.20418928405058201</v>
      </c>
      <c r="D16" s="21">
        <v>0.17206462478342699</v>
      </c>
      <c r="E16" s="21">
        <v>0.234923951481701</v>
      </c>
      <c r="F16" s="21"/>
      <c r="G16" s="21">
        <v>0.13494353378264501</v>
      </c>
      <c r="H16" s="21">
        <v>0.13177739669448499</v>
      </c>
      <c r="I16" s="21">
        <v>0.15099376315132801</v>
      </c>
      <c r="J16" s="21">
        <v>0.18299008097386399</v>
      </c>
      <c r="K16" s="21">
        <v>0.24927026795912499</v>
      </c>
      <c r="L16" s="21">
        <v>0.291761300266835</v>
      </c>
      <c r="M16" s="21"/>
      <c r="N16" s="21">
        <v>0.15769209256518499</v>
      </c>
      <c r="O16" s="21">
        <v>0.21514905443236501</v>
      </c>
      <c r="P16" s="21">
        <v>0.226261216239869</v>
      </c>
      <c r="Q16" s="21">
        <v>0.22233309937580001</v>
      </c>
      <c r="R16" s="21">
        <v>0.15501308371129399</v>
      </c>
      <c r="S16" s="21">
        <v>0.20583270250254099</v>
      </c>
      <c r="T16" s="21">
        <v>0.28683444789356199</v>
      </c>
      <c r="U16" s="21">
        <v>0.11513816403539701</v>
      </c>
      <c r="V16" s="21">
        <v>0.25720814721341301</v>
      </c>
      <c r="W16" s="21"/>
      <c r="X16" s="21">
        <v>0.14171020810576199</v>
      </c>
      <c r="Y16" s="21">
        <v>0.23876311324764701</v>
      </c>
    </row>
    <row r="17" spans="2:25" x14ac:dyDescent="0.35">
      <c r="B17" s="18" t="s">
        <v>92</v>
      </c>
      <c r="C17" s="22">
        <v>0.31539509736836002</v>
      </c>
      <c r="D17" s="22">
        <v>0.40483982258916401</v>
      </c>
      <c r="E17" s="22">
        <v>0.23107922906675701</v>
      </c>
      <c r="F17" s="22"/>
      <c r="G17" s="22">
        <v>0.45919673718589898</v>
      </c>
      <c r="H17" s="22">
        <v>0.52416788954840599</v>
      </c>
      <c r="I17" s="22">
        <v>0.43238532358690501</v>
      </c>
      <c r="J17" s="22">
        <v>0.34345474885979799</v>
      </c>
      <c r="K17" s="22">
        <v>0.22361513752567799</v>
      </c>
      <c r="L17" s="22">
        <v>0.10448254626399001</v>
      </c>
      <c r="M17" s="22"/>
      <c r="N17" s="22">
        <v>0.48628974987617102</v>
      </c>
      <c r="O17" s="22">
        <v>0.349067082808942</v>
      </c>
      <c r="P17" s="22">
        <v>0.292025925101424</v>
      </c>
      <c r="Q17" s="22">
        <v>0.34169837123336599</v>
      </c>
      <c r="R17" s="22">
        <v>0.41515010383883599</v>
      </c>
      <c r="S17" s="22">
        <v>0.29605388874788202</v>
      </c>
      <c r="T17" s="22">
        <v>0.121754806662956</v>
      </c>
      <c r="U17" s="22">
        <v>0.39832972071616102</v>
      </c>
      <c r="V17" s="22">
        <v>0.27940089502506199</v>
      </c>
      <c r="W17" s="22"/>
      <c r="X17" s="22">
        <v>0.517633567902817</v>
      </c>
      <c r="Y17" s="22">
        <v>0.20348309752525501</v>
      </c>
    </row>
    <row r="18" spans="2:25" x14ac:dyDescent="0.35">
      <c r="B18" s="16"/>
    </row>
    <row r="19" spans="2:25" x14ac:dyDescent="0.35">
      <c r="B19" t="s">
        <v>51</v>
      </c>
    </row>
    <row r="20" spans="2:25" x14ac:dyDescent="0.35">
      <c r="B20" t="s">
        <v>52</v>
      </c>
    </row>
    <row r="22" spans="2:25" x14ac:dyDescent="0.35">
      <c r="B22" s="8" t="str">
        <f>HYPERLINK("#'Contents'!A1", "Return to Contents")</f>
        <v>Return to Contents</v>
      </c>
    </row>
  </sheetData>
  <mergeCells count="5">
    <mergeCell ref="D5:E5"/>
    <mergeCell ref="G5:L5"/>
    <mergeCell ref="N5:V5"/>
    <mergeCell ref="X5:Y5"/>
    <mergeCell ref="D2:W2"/>
  </mergeCells>
  <pageMargins left="0.7" right="0.7" top="0.75" bottom="0.75" header="0.3" footer="0.3"/>
  <pageSetup paperSize="9" orientation="portrait" horizontalDpi="300" verticalDpi="300"/>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B2:Y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s>
  <sheetData>
    <row r="2" spans="2:25" ht="40" customHeight="1" x14ac:dyDescent="0.35">
      <c r="D2" s="30" t="s">
        <v>189</v>
      </c>
      <c r="E2" s="26"/>
      <c r="F2" s="26"/>
      <c r="G2" s="26"/>
      <c r="H2" s="26"/>
      <c r="I2" s="26"/>
      <c r="J2" s="26"/>
      <c r="K2" s="26"/>
      <c r="L2" s="26"/>
      <c r="M2" s="26"/>
      <c r="N2" s="26"/>
      <c r="O2" s="26"/>
      <c r="P2" s="26"/>
      <c r="Q2" s="26"/>
      <c r="R2" s="26"/>
      <c r="S2" s="26"/>
      <c r="T2" s="26"/>
      <c r="U2" s="26"/>
      <c r="V2" s="26"/>
      <c r="W2" s="26"/>
    </row>
    <row r="5" spans="2:25" ht="30" customHeight="1" x14ac:dyDescent="0.35">
      <c r="B5" s="15"/>
      <c r="C5" s="15"/>
      <c r="D5" s="29" t="s">
        <v>38</v>
      </c>
      <c r="E5" s="29"/>
      <c r="F5" s="15"/>
      <c r="G5" s="29" t="s">
        <v>39</v>
      </c>
      <c r="H5" s="29"/>
      <c r="I5" s="29"/>
      <c r="J5" s="29"/>
      <c r="K5" s="29"/>
      <c r="L5" s="29"/>
      <c r="M5" s="15"/>
      <c r="N5" s="29" t="s">
        <v>40</v>
      </c>
      <c r="O5" s="29"/>
      <c r="P5" s="29"/>
      <c r="Q5" s="29"/>
      <c r="R5" s="29"/>
      <c r="S5" s="29"/>
      <c r="T5" s="29"/>
      <c r="U5" s="29"/>
      <c r="V5" s="29"/>
      <c r="W5" s="15"/>
      <c r="X5" s="29" t="s">
        <v>41</v>
      </c>
      <c r="Y5" s="29"/>
    </row>
    <row r="6" spans="2:25" ht="29"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row>
    <row r="7" spans="2:25" ht="30" customHeight="1" x14ac:dyDescent="0.35">
      <c r="B7" s="10" t="s">
        <v>19</v>
      </c>
      <c r="C7" s="10">
        <v>6838</v>
      </c>
      <c r="D7" s="10">
        <v>3283</v>
      </c>
      <c r="E7" s="10">
        <v>3541</v>
      </c>
      <c r="F7" s="10"/>
      <c r="G7" s="10">
        <v>635</v>
      </c>
      <c r="H7" s="10">
        <v>1075</v>
      </c>
      <c r="I7" s="10">
        <v>1093</v>
      </c>
      <c r="J7" s="10">
        <v>1228</v>
      </c>
      <c r="K7" s="10">
        <v>1156</v>
      </c>
      <c r="L7" s="10">
        <v>1651</v>
      </c>
      <c r="M7" s="10"/>
      <c r="N7" s="10">
        <v>208</v>
      </c>
      <c r="O7" s="10">
        <v>200</v>
      </c>
      <c r="P7" s="10">
        <v>1002</v>
      </c>
      <c r="Q7" s="10">
        <v>1000</v>
      </c>
      <c r="R7" s="10">
        <v>1004</v>
      </c>
      <c r="S7" s="10">
        <v>1006</v>
      </c>
      <c r="T7" s="10">
        <v>1006</v>
      </c>
      <c r="U7" s="10">
        <v>1007</v>
      </c>
      <c r="V7" s="10">
        <v>405</v>
      </c>
      <c r="W7" s="10"/>
      <c r="X7" s="10">
        <v>2650</v>
      </c>
      <c r="Y7" s="10">
        <v>4188</v>
      </c>
    </row>
    <row r="8" spans="2:25" ht="30" customHeight="1" x14ac:dyDescent="0.35">
      <c r="B8" s="11" t="s">
        <v>20</v>
      </c>
      <c r="C8" s="11">
        <v>6838</v>
      </c>
      <c r="D8" s="11">
        <v>3309</v>
      </c>
      <c r="E8" s="11">
        <v>3515</v>
      </c>
      <c r="F8" s="11"/>
      <c r="G8" s="11">
        <v>645</v>
      </c>
      <c r="H8" s="11">
        <v>1026</v>
      </c>
      <c r="I8" s="11">
        <v>1111</v>
      </c>
      <c r="J8" s="11">
        <v>1184</v>
      </c>
      <c r="K8" s="11">
        <v>1140</v>
      </c>
      <c r="L8" s="11">
        <v>1732</v>
      </c>
      <c r="M8" s="11"/>
      <c r="N8" s="11">
        <v>208</v>
      </c>
      <c r="O8" s="11">
        <v>200</v>
      </c>
      <c r="P8" s="11">
        <v>1002</v>
      </c>
      <c r="Q8" s="11">
        <v>1000</v>
      </c>
      <c r="R8" s="11">
        <v>1004</v>
      </c>
      <c r="S8" s="11">
        <v>1006</v>
      </c>
      <c r="T8" s="11">
        <v>1006</v>
      </c>
      <c r="U8" s="11">
        <v>1007</v>
      </c>
      <c r="V8" s="11">
        <v>405</v>
      </c>
      <c r="W8" s="11"/>
      <c r="X8" s="11">
        <v>2436</v>
      </c>
      <c r="Y8" s="11">
        <v>4402</v>
      </c>
    </row>
    <row r="9" spans="2:25" x14ac:dyDescent="0.35">
      <c r="B9" s="18" t="s">
        <v>85</v>
      </c>
      <c r="C9" s="17">
        <v>0.51405091444487905</v>
      </c>
      <c r="D9" s="17">
        <v>0.51445959189415802</v>
      </c>
      <c r="E9" s="17">
        <v>0.51357937464508396</v>
      </c>
      <c r="F9" s="17"/>
      <c r="G9" s="17">
        <v>0.55095149081863504</v>
      </c>
      <c r="H9" s="17">
        <v>0.58160287986273096</v>
      </c>
      <c r="I9" s="17">
        <v>0.54849630643069303</v>
      </c>
      <c r="J9" s="17">
        <v>0.54440281747217101</v>
      </c>
      <c r="K9" s="17">
        <v>0.51807508705549099</v>
      </c>
      <c r="L9" s="17">
        <v>0.41484391517017</v>
      </c>
      <c r="M9" s="17"/>
      <c r="N9" s="17">
        <v>0.64422060255707103</v>
      </c>
      <c r="O9" s="17">
        <v>0.54428577122589705</v>
      </c>
      <c r="P9" s="17">
        <v>0.41910946968565199</v>
      </c>
      <c r="Q9" s="17">
        <v>0.58871644216533303</v>
      </c>
      <c r="R9" s="17">
        <v>0.47069394068235698</v>
      </c>
      <c r="S9" s="17">
        <v>0.56058657351714503</v>
      </c>
      <c r="T9" s="17">
        <v>0.60952607798816505</v>
      </c>
      <c r="U9" s="17">
        <v>0.36868291219219901</v>
      </c>
      <c r="V9" s="17">
        <v>0.59898085474000895</v>
      </c>
      <c r="W9" s="17"/>
      <c r="X9" s="17">
        <v>0.55837262181696801</v>
      </c>
      <c r="Y9" s="17">
        <v>0.48952476521440302</v>
      </c>
    </row>
    <row r="10" spans="2:25" x14ac:dyDescent="0.35">
      <c r="B10" s="18" t="s">
        <v>86</v>
      </c>
      <c r="C10" s="17">
        <v>0.34332542701839303</v>
      </c>
      <c r="D10" s="17">
        <v>0.343909287811971</v>
      </c>
      <c r="E10" s="17">
        <v>0.34326913427345601</v>
      </c>
      <c r="F10" s="17"/>
      <c r="G10" s="17">
        <v>0.317970672109603</v>
      </c>
      <c r="H10" s="17">
        <v>0.30863657218452101</v>
      </c>
      <c r="I10" s="17">
        <v>0.337870353977131</v>
      </c>
      <c r="J10" s="17">
        <v>0.32427827215183902</v>
      </c>
      <c r="K10" s="17">
        <v>0.33882988638238898</v>
      </c>
      <c r="L10" s="17">
        <v>0.39277047519673203</v>
      </c>
      <c r="M10" s="17"/>
      <c r="N10" s="17">
        <v>0.26867916831031202</v>
      </c>
      <c r="O10" s="17">
        <v>0.31783284999309103</v>
      </c>
      <c r="P10" s="17">
        <v>0.40046532771180499</v>
      </c>
      <c r="Q10" s="17">
        <v>0.28388855992906498</v>
      </c>
      <c r="R10" s="17">
        <v>0.40543237461394499</v>
      </c>
      <c r="S10" s="17">
        <v>0.310839334082604</v>
      </c>
      <c r="T10" s="17">
        <v>0.28819879766365197</v>
      </c>
      <c r="U10" s="17">
        <v>0.40697135659810701</v>
      </c>
      <c r="V10" s="17">
        <v>0.305051836802194</v>
      </c>
      <c r="W10" s="17"/>
      <c r="X10" s="17">
        <v>0.328620960740448</v>
      </c>
      <c r="Y10" s="17">
        <v>0.351462386437843</v>
      </c>
    </row>
    <row r="11" spans="2:25" ht="29" x14ac:dyDescent="0.35">
      <c r="B11" s="18" t="s">
        <v>181</v>
      </c>
      <c r="C11" s="17">
        <v>9.1958365437519896E-2</v>
      </c>
      <c r="D11" s="17">
        <v>9.7556125020205095E-2</v>
      </c>
      <c r="E11" s="17">
        <v>8.6393766683610401E-2</v>
      </c>
      <c r="F11" s="17"/>
      <c r="G11" s="17">
        <v>8.8972796058685202E-2</v>
      </c>
      <c r="H11" s="17">
        <v>7.59266765044216E-2</v>
      </c>
      <c r="I11" s="17">
        <v>8.0029490107125595E-2</v>
      </c>
      <c r="J11" s="17">
        <v>9.5223343792043294E-2</v>
      </c>
      <c r="K11" s="17">
        <v>9.1858544919562898E-2</v>
      </c>
      <c r="L11" s="17">
        <v>0.108046348214205</v>
      </c>
      <c r="M11" s="17"/>
      <c r="N11" s="17">
        <v>4.8692809877943999E-2</v>
      </c>
      <c r="O11" s="17">
        <v>6.5174922166832697E-2</v>
      </c>
      <c r="P11" s="17">
        <v>0.103310695035523</v>
      </c>
      <c r="Q11" s="17">
        <v>8.1011025249891205E-2</v>
      </c>
      <c r="R11" s="17">
        <v>8.6623384784641905E-2</v>
      </c>
      <c r="S11" s="17">
        <v>8.2227179993956206E-2</v>
      </c>
      <c r="T11" s="17">
        <v>8.0185889696382698E-2</v>
      </c>
      <c r="U11" s="17">
        <v>0.141442580630182</v>
      </c>
      <c r="V11" s="17">
        <v>6.9950042398622694E-2</v>
      </c>
      <c r="W11" s="17"/>
      <c r="X11" s="17">
        <v>8.2970758699330793E-2</v>
      </c>
      <c r="Y11" s="17">
        <v>9.6931806154392494E-2</v>
      </c>
    </row>
    <row r="12" spans="2:25" x14ac:dyDescent="0.35">
      <c r="B12" s="18" t="s">
        <v>88</v>
      </c>
      <c r="C12" s="17">
        <v>2.12133773913393E-2</v>
      </c>
      <c r="D12" s="17">
        <v>1.8986178189633801E-2</v>
      </c>
      <c r="E12" s="17">
        <v>2.30805358393395E-2</v>
      </c>
      <c r="F12" s="17"/>
      <c r="G12" s="17">
        <v>2.7182370877174501E-2</v>
      </c>
      <c r="H12" s="17">
        <v>2.2491036848468801E-2</v>
      </c>
      <c r="I12" s="17">
        <v>2.0397543539605802E-2</v>
      </c>
      <c r="J12" s="17">
        <v>1.2620899151630701E-2</v>
      </c>
      <c r="K12" s="17">
        <v>1.7765407393217001E-2</v>
      </c>
      <c r="L12" s="17">
        <v>2.6900181513116801E-2</v>
      </c>
      <c r="M12" s="17"/>
      <c r="N12" s="17">
        <v>1.35296724267416E-2</v>
      </c>
      <c r="O12" s="17">
        <v>6.0926898028373699E-2</v>
      </c>
      <c r="P12" s="17">
        <v>2.5741942466157599E-2</v>
      </c>
      <c r="Q12" s="17">
        <v>1.6121736092244501E-2</v>
      </c>
      <c r="R12" s="17">
        <v>1.6899304346330801E-2</v>
      </c>
      <c r="S12" s="17">
        <v>1.7966055852853099E-2</v>
      </c>
      <c r="T12" s="17">
        <v>1.36293492505481E-2</v>
      </c>
      <c r="U12" s="17">
        <v>3.6518829872699603E-2</v>
      </c>
      <c r="V12" s="17">
        <v>6.45930841644518E-3</v>
      </c>
      <c r="W12" s="17"/>
      <c r="X12" s="17">
        <v>1.3967853356494499E-2</v>
      </c>
      <c r="Y12" s="17">
        <v>2.5222807854830699E-2</v>
      </c>
    </row>
    <row r="13" spans="2:25" x14ac:dyDescent="0.35">
      <c r="B13" s="18" t="s">
        <v>89</v>
      </c>
      <c r="C13" s="17">
        <v>1.2041022760156599E-2</v>
      </c>
      <c r="D13" s="17">
        <v>1.1719924508120001E-2</v>
      </c>
      <c r="E13" s="17">
        <v>1.2391485923749401E-2</v>
      </c>
      <c r="F13" s="17"/>
      <c r="G13" s="17">
        <v>8.2608798375797196E-3</v>
      </c>
      <c r="H13" s="17">
        <v>3.0391697966785001E-3</v>
      </c>
      <c r="I13" s="17">
        <v>2.2953198614826401E-3</v>
      </c>
      <c r="J13" s="17">
        <v>6.9549333488595098E-3</v>
      </c>
      <c r="K13" s="17">
        <v>1.4422615111782101E-2</v>
      </c>
      <c r="L13" s="17">
        <v>2.6936123609952001E-2</v>
      </c>
      <c r="M13" s="17"/>
      <c r="N13" s="17">
        <v>7.9763114493738001E-3</v>
      </c>
      <c r="O13" s="17">
        <v>3.35963674736885E-3</v>
      </c>
      <c r="P13" s="17">
        <v>2.3238065938677499E-2</v>
      </c>
      <c r="Q13" s="17">
        <v>1.6690959522451299E-2</v>
      </c>
      <c r="R13" s="17">
        <v>8.9952984995987206E-3</v>
      </c>
      <c r="S13" s="17">
        <v>8.4609667072690804E-3</v>
      </c>
      <c r="T13" s="17">
        <v>3.03352444132983E-3</v>
      </c>
      <c r="U13" s="17">
        <v>1.5164647032907E-2</v>
      </c>
      <c r="V13" s="17">
        <v>1.0282653231545501E-2</v>
      </c>
      <c r="W13" s="17"/>
      <c r="X13" s="17">
        <v>7.6855442651794703E-3</v>
      </c>
      <c r="Y13" s="17">
        <v>1.44511987635568E-2</v>
      </c>
    </row>
    <row r="14" spans="2:25" x14ac:dyDescent="0.35">
      <c r="B14" s="18" t="s">
        <v>69</v>
      </c>
      <c r="C14" s="17">
        <v>1.7410892947711799E-2</v>
      </c>
      <c r="D14" s="17">
        <v>1.33688925759114E-2</v>
      </c>
      <c r="E14" s="17">
        <v>2.1285702634761199E-2</v>
      </c>
      <c r="F14" s="17"/>
      <c r="G14" s="17">
        <v>6.6617902983231404E-3</v>
      </c>
      <c r="H14" s="17">
        <v>8.3036648031782293E-3</v>
      </c>
      <c r="I14" s="17">
        <v>1.0910986083962701E-2</v>
      </c>
      <c r="J14" s="17">
        <v>1.6519734083456201E-2</v>
      </c>
      <c r="K14" s="17">
        <v>1.90484591375574E-2</v>
      </c>
      <c r="L14" s="17">
        <v>3.0502956295824901E-2</v>
      </c>
      <c r="M14" s="17"/>
      <c r="N14" s="17">
        <v>1.6901435378558101E-2</v>
      </c>
      <c r="O14" s="17">
        <v>8.4199218384367405E-3</v>
      </c>
      <c r="P14" s="17">
        <v>2.8134499162184801E-2</v>
      </c>
      <c r="Q14" s="17">
        <v>1.3571277041015101E-2</v>
      </c>
      <c r="R14" s="17">
        <v>1.1355697073126E-2</v>
      </c>
      <c r="S14" s="17">
        <v>1.99198898461726E-2</v>
      </c>
      <c r="T14" s="17">
        <v>5.4263609599226603E-3</v>
      </c>
      <c r="U14" s="17">
        <v>3.1219673673904502E-2</v>
      </c>
      <c r="V14" s="17">
        <v>9.2753044111841196E-3</v>
      </c>
      <c r="W14" s="17"/>
      <c r="X14" s="17">
        <v>8.3822611215796893E-3</v>
      </c>
      <c r="Y14" s="17">
        <v>2.2407035574974199E-2</v>
      </c>
    </row>
    <row r="15" spans="2:25" x14ac:dyDescent="0.35">
      <c r="B15" s="18" t="s">
        <v>90</v>
      </c>
      <c r="C15" s="21">
        <v>0.85737634146327202</v>
      </c>
      <c r="D15" s="21">
        <v>0.85836887970612996</v>
      </c>
      <c r="E15" s="21">
        <v>0.85684850891853903</v>
      </c>
      <c r="F15" s="21"/>
      <c r="G15" s="21">
        <v>0.86892216292823798</v>
      </c>
      <c r="H15" s="21">
        <v>0.89023945204725297</v>
      </c>
      <c r="I15" s="21">
        <v>0.88636666040782297</v>
      </c>
      <c r="J15" s="21">
        <v>0.86868108962401003</v>
      </c>
      <c r="K15" s="21">
        <v>0.85690497343787997</v>
      </c>
      <c r="L15" s="21">
        <v>0.80761439036690197</v>
      </c>
      <c r="M15" s="21"/>
      <c r="N15" s="21">
        <v>0.91289977086738205</v>
      </c>
      <c r="O15" s="21">
        <v>0.86211862121898797</v>
      </c>
      <c r="P15" s="21">
        <v>0.81957479739745698</v>
      </c>
      <c r="Q15" s="21">
        <v>0.87260500209439795</v>
      </c>
      <c r="R15" s="21">
        <v>0.87612631529630303</v>
      </c>
      <c r="S15" s="21">
        <v>0.87142590759974903</v>
      </c>
      <c r="T15" s="21">
        <v>0.89772487565181702</v>
      </c>
      <c r="U15" s="21">
        <v>0.77565426879030697</v>
      </c>
      <c r="V15" s="21">
        <v>0.904032691542203</v>
      </c>
      <c r="W15" s="21"/>
      <c r="X15" s="21">
        <v>0.886993582557416</v>
      </c>
      <c r="Y15" s="21">
        <v>0.84098715165224602</v>
      </c>
    </row>
    <row r="16" spans="2:25" x14ac:dyDescent="0.35">
      <c r="B16" s="18" t="s">
        <v>91</v>
      </c>
      <c r="C16" s="21">
        <v>3.3254400151495798E-2</v>
      </c>
      <c r="D16" s="21">
        <v>3.0706102697753802E-2</v>
      </c>
      <c r="E16" s="21">
        <v>3.5472021763088897E-2</v>
      </c>
      <c r="F16" s="21"/>
      <c r="G16" s="21">
        <v>3.5443250714754203E-2</v>
      </c>
      <c r="H16" s="21">
        <v>2.55302066451473E-2</v>
      </c>
      <c r="I16" s="21">
        <v>2.2692863401088399E-2</v>
      </c>
      <c r="J16" s="21">
        <v>1.9575832500490199E-2</v>
      </c>
      <c r="K16" s="21">
        <v>3.2188022504999102E-2</v>
      </c>
      <c r="L16" s="21">
        <v>5.3836305123068903E-2</v>
      </c>
      <c r="M16" s="21"/>
      <c r="N16" s="21">
        <v>2.1505983876115398E-2</v>
      </c>
      <c r="O16" s="21">
        <v>6.4286534775742601E-2</v>
      </c>
      <c r="P16" s="21">
        <v>4.8980008404835101E-2</v>
      </c>
      <c r="Q16" s="21">
        <v>3.2812695614695797E-2</v>
      </c>
      <c r="R16" s="21">
        <v>2.5894602845929499E-2</v>
      </c>
      <c r="S16" s="21">
        <v>2.64270225601222E-2</v>
      </c>
      <c r="T16" s="21">
        <v>1.66628736918779E-2</v>
      </c>
      <c r="U16" s="21">
        <v>5.16834769056067E-2</v>
      </c>
      <c r="V16" s="21">
        <v>1.6741961647990598E-2</v>
      </c>
      <c r="W16" s="21"/>
      <c r="X16" s="21">
        <v>2.1653397621673998E-2</v>
      </c>
      <c r="Y16" s="21">
        <v>3.9674006618387499E-2</v>
      </c>
    </row>
    <row r="17" spans="2:25" x14ac:dyDescent="0.35">
      <c r="B17" s="18" t="s">
        <v>92</v>
      </c>
      <c r="C17" s="22">
        <v>0.82412194131177696</v>
      </c>
      <c r="D17" s="22">
        <v>0.82766277700837598</v>
      </c>
      <c r="E17" s="22">
        <v>0.82137648715545097</v>
      </c>
      <c r="F17" s="22"/>
      <c r="G17" s="22">
        <v>0.83347891221348303</v>
      </c>
      <c r="H17" s="22">
        <v>0.86470924540210503</v>
      </c>
      <c r="I17" s="22">
        <v>0.86367379700673497</v>
      </c>
      <c r="J17" s="22">
        <v>0.84910525712352003</v>
      </c>
      <c r="K17" s="22">
        <v>0.824716950932881</v>
      </c>
      <c r="L17" s="22">
        <v>0.75377808524383305</v>
      </c>
      <c r="M17" s="22"/>
      <c r="N17" s="22">
        <v>0.89139378699126703</v>
      </c>
      <c r="O17" s="22">
        <v>0.79783208644324499</v>
      </c>
      <c r="P17" s="22">
        <v>0.77059478899262202</v>
      </c>
      <c r="Q17" s="22">
        <v>0.83979230647970204</v>
      </c>
      <c r="R17" s="22">
        <v>0.85023171245037299</v>
      </c>
      <c r="S17" s="22">
        <v>0.84499888503962695</v>
      </c>
      <c r="T17" s="22">
        <v>0.881062001959939</v>
      </c>
      <c r="U17" s="22">
        <v>0.72397079188470004</v>
      </c>
      <c r="V17" s="22">
        <v>0.88729072989421198</v>
      </c>
      <c r="W17" s="22"/>
      <c r="X17" s="22">
        <v>0.86534018493574205</v>
      </c>
      <c r="Y17" s="22">
        <v>0.80131314503385798</v>
      </c>
    </row>
    <row r="18" spans="2:25" x14ac:dyDescent="0.35">
      <c r="B18" s="16"/>
    </row>
    <row r="19" spans="2:25" x14ac:dyDescent="0.35">
      <c r="B19" t="s">
        <v>51</v>
      </c>
    </row>
    <row r="20" spans="2:25" x14ac:dyDescent="0.35">
      <c r="B20" t="s">
        <v>52</v>
      </c>
    </row>
    <row r="22" spans="2:25" x14ac:dyDescent="0.35">
      <c r="B22" s="8" t="str">
        <f>HYPERLINK("#'Contents'!A1", "Return to Contents")</f>
        <v>Return to Contents</v>
      </c>
    </row>
  </sheetData>
  <mergeCells count="5">
    <mergeCell ref="D5:E5"/>
    <mergeCell ref="G5:L5"/>
    <mergeCell ref="N5:V5"/>
    <mergeCell ref="X5:Y5"/>
    <mergeCell ref="D2:W2"/>
  </mergeCells>
  <pageMargins left="0.7" right="0.7" top="0.75" bottom="0.75" header="0.3" footer="0.3"/>
  <pageSetup paperSize="9" orientation="portrait" horizontalDpi="300" verticalDpi="300"/>
  <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B2:Y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s>
  <sheetData>
    <row r="2" spans="2:25" ht="40" customHeight="1" x14ac:dyDescent="0.35">
      <c r="D2" s="30" t="s">
        <v>190</v>
      </c>
      <c r="E2" s="26"/>
      <c r="F2" s="26"/>
      <c r="G2" s="26"/>
      <c r="H2" s="26"/>
      <c r="I2" s="26"/>
      <c r="J2" s="26"/>
      <c r="K2" s="26"/>
      <c r="L2" s="26"/>
      <c r="M2" s="26"/>
      <c r="N2" s="26"/>
      <c r="O2" s="26"/>
      <c r="P2" s="26"/>
      <c r="Q2" s="26"/>
      <c r="R2" s="26"/>
      <c r="S2" s="26"/>
      <c r="T2" s="26"/>
      <c r="U2" s="26"/>
      <c r="V2" s="26"/>
      <c r="W2" s="26"/>
    </row>
    <row r="5" spans="2:25" ht="30" customHeight="1" x14ac:dyDescent="0.35">
      <c r="B5" s="15"/>
      <c r="C5" s="15"/>
      <c r="D5" s="29" t="s">
        <v>38</v>
      </c>
      <c r="E5" s="29"/>
      <c r="F5" s="15"/>
      <c r="G5" s="29" t="s">
        <v>39</v>
      </c>
      <c r="H5" s="29"/>
      <c r="I5" s="29"/>
      <c r="J5" s="29"/>
      <c r="K5" s="29"/>
      <c r="L5" s="29"/>
      <c r="M5" s="15"/>
      <c r="N5" s="29" t="s">
        <v>40</v>
      </c>
      <c r="O5" s="29"/>
      <c r="P5" s="29"/>
      <c r="Q5" s="29"/>
      <c r="R5" s="29"/>
      <c r="S5" s="29"/>
      <c r="T5" s="29"/>
      <c r="U5" s="29"/>
      <c r="V5" s="29"/>
      <c r="W5" s="15"/>
      <c r="X5" s="29" t="s">
        <v>41</v>
      </c>
      <c r="Y5" s="29"/>
    </row>
    <row r="6" spans="2:25" ht="29"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row>
    <row r="7" spans="2:25" ht="30" customHeight="1" x14ac:dyDescent="0.35">
      <c r="B7" s="10" t="s">
        <v>19</v>
      </c>
      <c r="C7" s="10">
        <v>6838</v>
      </c>
      <c r="D7" s="10">
        <v>3283</v>
      </c>
      <c r="E7" s="10">
        <v>3541</v>
      </c>
      <c r="F7" s="10"/>
      <c r="G7" s="10">
        <v>635</v>
      </c>
      <c r="H7" s="10">
        <v>1075</v>
      </c>
      <c r="I7" s="10">
        <v>1093</v>
      </c>
      <c r="J7" s="10">
        <v>1228</v>
      </c>
      <c r="K7" s="10">
        <v>1156</v>
      </c>
      <c r="L7" s="10">
        <v>1651</v>
      </c>
      <c r="M7" s="10"/>
      <c r="N7" s="10">
        <v>208</v>
      </c>
      <c r="O7" s="10">
        <v>200</v>
      </c>
      <c r="P7" s="10">
        <v>1002</v>
      </c>
      <c r="Q7" s="10">
        <v>1000</v>
      </c>
      <c r="R7" s="10">
        <v>1004</v>
      </c>
      <c r="S7" s="10">
        <v>1006</v>
      </c>
      <c r="T7" s="10">
        <v>1006</v>
      </c>
      <c r="U7" s="10">
        <v>1007</v>
      </c>
      <c r="V7" s="10">
        <v>405</v>
      </c>
      <c r="W7" s="10"/>
      <c r="X7" s="10">
        <v>2650</v>
      </c>
      <c r="Y7" s="10">
        <v>4188</v>
      </c>
    </row>
    <row r="8" spans="2:25" ht="30" customHeight="1" x14ac:dyDescent="0.35">
      <c r="B8" s="11" t="s">
        <v>20</v>
      </c>
      <c r="C8" s="11">
        <v>6838</v>
      </c>
      <c r="D8" s="11">
        <v>3309</v>
      </c>
      <c r="E8" s="11">
        <v>3515</v>
      </c>
      <c r="F8" s="11"/>
      <c r="G8" s="11">
        <v>645</v>
      </c>
      <c r="H8" s="11">
        <v>1026</v>
      </c>
      <c r="I8" s="11">
        <v>1111</v>
      </c>
      <c r="J8" s="11">
        <v>1184</v>
      </c>
      <c r="K8" s="11">
        <v>1140</v>
      </c>
      <c r="L8" s="11">
        <v>1732</v>
      </c>
      <c r="M8" s="11"/>
      <c r="N8" s="11">
        <v>208</v>
      </c>
      <c r="O8" s="11">
        <v>200</v>
      </c>
      <c r="P8" s="11">
        <v>1002</v>
      </c>
      <c r="Q8" s="11">
        <v>1000</v>
      </c>
      <c r="R8" s="11">
        <v>1004</v>
      </c>
      <c r="S8" s="11">
        <v>1006</v>
      </c>
      <c r="T8" s="11">
        <v>1006</v>
      </c>
      <c r="U8" s="11">
        <v>1007</v>
      </c>
      <c r="V8" s="11">
        <v>405</v>
      </c>
      <c r="W8" s="11"/>
      <c r="X8" s="11">
        <v>2436</v>
      </c>
      <c r="Y8" s="11">
        <v>4402</v>
      </c>
    </row>
    <row r="9" spans="2:25" x14ac:dyDescent="0.35">
      <c r="B9" s="18" t="s">
        <v>85</v>
      </c>
      <c r="C9" s="17">
        <v>0.54485053959408802</v>
      </c>
      <c r="D9" s="17">
        <v>0.55414061573370299</v>
      </c>
      <c r="E9" s="17">
        <v>0.53579791993432602</v>
      </c>
      <c r="F9" s="17"/>
      <c r="G9" s="17">
        <v>0.589833430661314</v>
      </c>
      <c r="H9" s="17">
        <v>0.59035644584692204</v>
      </c>
      <c r="I9" s="17">
        <v>0.57090968268494802</v>
      </c>
      <c r="J9" s="17">
        <v>0.57956753872914302</v>
      </c>
      <c r="K9" s="17">
        <v>0.55003916888565696</v>
      </c>
      <c r="L9" s="17">
        <v>0.45731669973603201</v>
      </c>
      <c r="M9" s="17"/>
      <c r="N9" s="17">
        <v>0.69598379177955805</v>
      </c>
      <c r="O9" s="17">
        <v>0.50515438130472601</v>
      </c>
      <c r="P9" s="17">
        <v>0.56256539692075103</v>
      </c>
      <c r="Q9" s="17">
        <v>0.596747114101295</v>
      </c>
      <c r="R9" s="17">
        <v>0.54480970311827304</v>
      </c>
      <c r="S9" s="17">
        <v>0.69194395485674398</v>
      </c>
      <c r="T9" s="17">
        <v>0.40396185027557102</v>
      </c>
      <c r="U9" s="17">
        <v>0.45741297331740599</v>
      </c>
      <c r="V9" s="17">
        <v>0.51696246161213</v>
      </c>
      <c r="W9" s="17"/>
      <c r="X9" s="17">
        <v>0.62125727398847097</v>
      </c>
      <c r="Y9" s="17">
        <v>0.50256961042685799</v>
      </c>
    </row>
    <row r="10" spans="2:25" x14ac:dyDescent="0.35">
      <c r="B10" s="18" t="s">
        <v>86</v>
      </c>
      <c r="C10" s="17">
        <v>0.31411524993255802</v>
      </c>
      <c r="D10" s="17">
        <v>0.30452364431505302</v>
      </c>
      <c r="E10" s="17">
        <v>0.32322567046420098</v>
      </c>
      <c r="F10" s="17"/>
      <c r="G10" s="17">
        <v>0.28877393025904302</v>
      </c>
      <c r="H10" s="17">
        <v>0.284560909753303</v>
      </c>
      <c r="I10" s="17">
        <v>0.305948648229457</v>
      </c>
      <c r="J10" s="17">
        <v>0.287676917897361</v>
      </c>
      <c r="K10" s="17">
        <v>0.30473466619234602</v>
      </c>
      <c r="L10" s="17">
        <v>0.37052124347640097</v>
      </c>
      <c r="M10" s="17"/>
      <c r="N10" s="17">
        <v>0.23543721324780501</v>
      </c>
      <c r="O10" s="17">
        <v>0.36246405226113698</v>
      </c>
      <c r="P10" s="17">
        <v>0.325005257727916</v>
      </c>
      <c r="Q10" s="17">
        <v>0.24890084829895701</v>
      </c>
      <c r="R10" s="17">
        <v>0.36443845433886402</v>
      </c>
      <c r="S10" s="17">
        <v>0.22906100328645301</v>
      </c>
      <c r="T10" s="17">
        <v>0.35719587590966501</v>
      </c>
      <c r="U10" s="17">
        <v>0.36675001160068799</v>
      </c>
      <c r="V10" s="17">
        <v>0.31336375649216902</v>
      </c>
      <c r="W10" s="17"/>
      <c r="X10" s="17">
        <v>0.28013125429661401</v>
      </c>
      <c r="Y10" s="17">
        <v>0.33292085553384299</v>
      </c>
    </row>
    <row r="11" spans="2:25" ht="29" x14ac:dyDescent="0.35">
      <c r="B11" s="18" t="s">
        <v>181</v>
      </c>
      <c r="C11" s="17">
        <v>9.2787190069219996E-2</v>
      </c>
      <c r="D11" s="17">
        <v>0.102384779108379</v>
      </c>
      <c r="E11" s="17">
        <v>8.3785017053823602E-2</v>
      </c>
      <c r="F11" s="17"/>
      <c r="G11" s="17">
        <v>8.1365051876871E-2</v>
      </c>
      <c r="H11" s="17">
        <v>9.6593564265541498E-2</v>
      </c>
      <c r="I11" s="17">
        <v>8.1905669461848601E-2</v>
      </c>
      <c r="J11" s="17">
        <v>9.4507234963722694E-2</v>
      </c>
      <c r="K11" s="17">
        <v>8.2427843552196706E-2</v>
      </c>
      <c r="L11" s="17">
        <v>0.107407897930616</v>
      </c>
      <c r="M11" s="17"/>
      <c r="N11" s="17">
        <v>4.7966909311763298E-2</v>
      </c>
      <c r="O11" s="17">
        <v>8.6574881651028807E-2</v>
      </c>
      <c r="P11" s="17">
        <v>6.5155404608106898E-2</v>
      </c>
      <c r="Q11" s="17">
        <v>8.1911055357538995E-2</v>
      </c>
      <c r="R11" s="17">
        <v>6.1064949675791E-2</v>
      </c>
      <c r="S11" s="17">
        <v>4.8924448119787099E-2</v>
      </c>
      <c r="T11" s="17">
        <v>0.172910693218887</v>
      </c>
      <c r="U11" s="17">
        <v>0.125636360322012</v>
      </c>
      <c r="V11" s="17">
        <v>0.120984604804802</v>
      </c>
      <c r="W11" s="17"/>
      <c r="X11" s="17">
        <v>7.0415685422029806E-2</v>
      </c>
      <c r="Y11" s="17">
        <v>0.105166831875005</v>
      </c>
    </row>
    <row r="12" spans="2:25" x14ac:dyDescent="0.35">
      <c r="B12" s="18" t="s">
        <v>88</v>
      </c>
      <c r="C12" s="17">
        <v>1.8795865715509501E-2</v>
      </c>
      <c r="D12" s="17">
        <v>1.7642898970869399E-2</v>
      </c>
      <c r="E12" s="17">
        <v>1.99564792738707E-2</v>
      </c>
      <c r="F12" s="17"/>
      <c r="G12" s="17">
        <v>2.946909365859E-2</v>
      </c>
      <c r="H12" s="17">
        <v>1.70286154152351E-2</v>
      </c>
      <c r="I12" s="17">
        <v>2.2362605893379701E-2</v>
      </c>
      <c r="J12" s="17">
        <v>1.1392580039493099E-2</v>
      </c>
      <c r="K12" s="17">
        <v>1.6863566667254699E-2</v>
      </c>
      <c r="L12" s="17">
        <v>1.9913053754975499E-2</v>
      </c>
      <c r="M12" s="17"/>
      <c r="N12" s="17">
        <v>1.17759698216038E-2</v>
      </c>
      <c r="O12" s="17">
        <v>1.29400702934983E-2</v>
      </c>
      <c r="P12" s="17">
        <v>1.0019974371134501E-2</v>
      </c>
      <c r="Q12" s="17">
        <v>2.5989553483540501E-2</v>
      </c>
      <c r="R12" s="17">
        <v>1.4378104683554299E-2</v>
      </c>
      <c r="S12" s="17">
        <v>1.1524337330562901E-2</v>
      </c>
      <c r="T12" s="17">
        <v>2.7828462255500602E-2</v>
      </c>
      <c r="U12" s="17">
        <v>2.2320286034348401E-2</v>
      </c>
      <c r="V12" s="17">
        <v>2.7056999148608301E-2</v>
      </c>
      <c r="W12" s="17"/>
      <c r="X12" s="17">
        <v>1.5139243045550199E-2</v>
      </c>
      <c r="Y12" s="17">
        <v>2.0819318298914299E-2</v>
      </c>
    </row>
    <row r="13" spans="2:25" x14ac:dyDescent="0.35">
      <c r="B13" s="18" t="s">
        <v>89</v>
      </c>
      <c r="C13" s="17">
        <v>1.11184809811961E-2</v>
      </c>
      <c r="D13" s="17">
        <v>8.9915749647112905E-3</v>
      </c>
      <c r="E13" s="17">
        <v>1.31652411788689E-2</v>
      </c>
      <c r="F13" s="17"/>
      <c r="G13" s="17">
        <v>3.1146603984180399E-3</v>
      </c>
      <c r="H13" s="17">
        <v>9.9260983763586799E-4</v>
      </c>
      <c r="I13" s="17">
        <v>3.3931598582066899E-3</v>
      </c>
      <c r="J13" s="17">
        <v>9.4023200643801891E-3</v>
      </c>
      <c r="K13" s="17">
        <v>2.2643654572058001E-2</v>
      </c>
      <c r="L13" s="17">
        <v>1.8633512361469502E-2</v>
      </c>
      <c r="M13" s="17"/>
      <c r="N13" s="17">
        <v>0</v>
      </c>
      <c r="O13" s="17">
        <v>1.9399226367455301E-2</v>
      </c>
      <c r="P13" s="17">
        <v>9.0161834077126697E-3</v>
      </c>
      <c r="Q13" s="17">
        <v>2.4918207627702801E-2</v>
      </c>
      <c r="R13" s="17">
        <v>4.8789990303024604E-3</v>
      </c>
      <c r="S13" s="17">
        <v>4.9784923195808203E-3</v>
      </c>
      <c r="T13" s="17">
        <v>1.24444989577063E-2</v>
      </c>
      <c r="U13" s="17">
        <v>1.2947171043105599E-2</v>
      </c>
      <c r="V13" s="17">
        <v>6.7458241528766099E-3</v>
      </c>
      <c r="W13" s="17"/>
      <c r="X13" s="17">
        <v>4.0256423966228E-3</v>
      </c>
      <c r="Y13" s="17">
        <v>1.50434204275152E-2</v>
      </c>
    </row>
    <row r="14" spans="2:25" x14ac:dyDescent="0.35">
      <c r="B14" s="18" t="s">
        <v>69</v>
      </c>
      <c r="C14" s="17">
        <v>1.83326737074277E-2</v>
      </c>
      <c r="D14" s="17">
        <v>1.2316486907284501E-2</v>
      </c>
      <c r="E14" s="17">
        <v>2.40696720949099E-2</v>
      </c>
      <c r="F14" s="17"/>
      <c r="G14" s="17">
        <v>7.4438331457633896E-3</v>
      </c>
      <c r="H14" s="17">
        <v>1.04678548813623E-2</v>
      </c>
      <c r="I14" s="17">
        <v>1.54802338721595E-2</v>
      </c>
      <c r="J14" s="17">
        <v>1.74534083058994E-2</v>
      </c>
      <c r="K14" s="17">
        <v>2.32911001304878E-2</v>
      </c>
      <c r="L14" s="17">
        <v>2.6207592740505201E-2</v>
      </c>
      <c r="M14" s="17"/>
      <c r="N14" s="17">
        <v>8.8361158392699299E-3</v>
      </c>
      <c r="O14" s="17">
        <v>1.34673881221547E-2</v>
      </c>
      <c r="P14" s="17">
        <v>2.8237782964379E-2</v>
      </c>
      <c r="Q14" s="17">
        <v>2.1533221130965601E-2</v>
      </c>
      <c r="R14" s="17">
        <v>1.04297891532153E-2</v>
      </c>
      <c r="S14" s="17">
        <v>1.3567764086873E-2</v>
      </c>
      <c r="T14" s="17">
        <v>2.565861938267E-2</v>
      </c>
      <c r="U14" s="17">
        <v>1.49331976824399E-2</v>
      </c>
      <c r="V14" s="17">
        <v>1.4886353789413999E-2</v>
      </c>
      <c r="W14" s="17"/>
      <c r="X14" s="17">
        <v>9.0309008507123492E-3</v>
      </c>
      <c r="Y14" s="17">
        <v>2.34799634378648E-2</v>
      </c>
    </row>
    <row r="15" spans="2:25" x14ac:dyDescent="0.35">
      <c r="B15" s="18" t="s">
        <v>90</v>
      </c>
      <c r="C15" s="21">
        <v>0.85896578952664604</v>
      </c>
      <c r="D15" s="21">
        <v>0.85866426004875596</v>
      </c>
      <c r="E15" s="21">
        <v>0.85902359039852705</v>
      </c>
      <c r="F15" s="21"/>
      <c r="G15" s="21">
        <v>0.87860736092035796</v>
      </c>
      <c r="H15" s="21">
        <v>0.87491735560022499</v>
      </c>
      <c r="I15" s="21">
        <v>0.87685833091440502</v>
      </c>
      <c r="J15" s="21">
        <v>0.86724445662650496</v>
      </c>
      <c r="K15" s="21">
        <v>0.85477383507800297</v>
      </c>
      <c r="L15" s="21">
        <v>0.82783794321243298</v>
      </c>
      <c r="M15" s="21"/>
      <c r="N15" s="21">
        <v>0.93142100502736302</v>
      </c>
      <c r="O15" s="21">
        <v>0.86761843356586299</v>
      </c>
      <c r="P15" s="21">
        <v>0.88757065464866702</v>
      </c>
      <c r="Q15" s="21">
        <v>0.84564796240025197</v>
      </c>
      <c r="R15" s="21">
        <v>0.90924815745713705</v>
      </c>
      <c r="S15" s="21">
        <v>0.92100495814319605</v>
      </c>
      <c r="T15" s="21">
        <v>0.76115772618523603</v>
      </c>
      <c r="U15" s="21">
        <v>0.82416298491809403</v>
      </c>
      <c r="V15" s="21">
        <v>0.83032621810429896</v>
      </c>
      <c r="W15" s="21"/>
      <c r="X15" s="21">
        <v>0.90138852828508498</v>
      </c>
      <c r="Y15" s="21">
        <v>0.83549046596070098</v>
      </c>
    </row>
    <row r="16" spans="2:25" x14ac:dyDescent="0.35">
      <c r="B16" s="18" t="s">
        <v>91</v>
      </c>
      <c r="C16" s="21">
        <v>2.9914346696705601E-2</v>
      </c>
      <c r="D16" s="21">
        <v>2.6634473935580699E-2</v>
      </c>
      <c r="E16" s="21">
        <v>3.3121720452739603E-2</v>
      </c>
      <c r="F16" s="21"/>
      <c r="G16" s="21">
        <v>3.2583754057008002E-2</v>
      </c>
      <c r="H16" s="21">
        <v>1.8021225252871E-2</v>
      </c>
      <c r="I16" s="21">
        <v>2.5755765751586401E-2</v>
      </c>
      <c r="J16" s="21">
        <v>2.07949001038733E-2</v>
      </c>
      <c r="K16" s="21">
        <v>3.9507221239312697E-2</v>
      </c>
      <c r="L16" s="21">
        <v>3.8546566116444997E-2</v>
      </c>
      <c r="M16" s="21"/>
      <c r="N16" s="21">
        <v>1.17759698216038E-2</v>
      </c>
      <c r="O16" s="21">
        <v>3.2339296660953601E-2</v>
      </c>
      <c r="P16" s="21">
        <v>1.90361577788472E-2</v>
      </c>
      <c r="Q16" s="21">
        <v>5.0907761111243302E-2</v>
      </c>
      <c r="R16" s="21">
        <v>1.9257103713856801E-2</v>
      </c>
      <c r="S16" s="21">
        <v>1.65028296501438E-2</v>
      </c>
      <c r="T16" s="21">
        <v>4.02729612132069E-2</v>
      </c>
      <c r="U16" s="21">
        <v>3.5267457077453997E-2</v>
      </c>
      <c r="V16" s="21">
        <v>3.3802823301484902E-2</v>
      </c>
      <c r="W16" s="21"/>
      <c r="X16" s="21">
        <v>1.9164885442172999E-2</v>
      </c>
      <c r="Y16" s="21">
        <v>3.5862738726429498E-2</v>
      </c>
    </row>
    <row r="17" spans="2:25" x14ac:dyDescent="0.35">
      <c r="B17" s="18" t="s">
        <v>92</v>
      </c>
      <c r="C17" s="22">
        <v>0.82905144282994103</v>
      </c>
      <c r="D17" s="22">
        <v>0.83202978611317502</v>
      </c>
      <c r="E17" s="22">
        <v>0.82590186994578796</v>
      </c>
      <c r="F17" s="22"/>
      <c r="G17" s="22">
        <v>0.84602360686334999</v>
      </c>
      <c r="H17" s="22">
        <v>0.85689613034735401</v>
      </c>
      <c r="I17" s="22">
        <v>0.85110256516281901</v>
      </c>
      <c r="J17" s="22">
        <v>0.84644955652263099</v>
      </c>
      <c r="K17" s="22">
        <v>0.81526661383869004</v>
      </c>
      <c r="L17" s="22">
        <v>0.78929137709598796</v>
      </c>
      <c r="M17" s="22"/>
      <c r="N17" s="22">
        <v>0.91964503520575902</v>
      </c>
      <c r="O17" s="22">
        <v>0.83527913690490896</v>
      </c>
      <c r="P17" s="22">
        <v>0.86853449686981998</v>
      </c>
      <c r="Q17" s="22">
        <v>0.79474020128900902</v>
      </c>
      <c r="R17" s="22">
        <v>0.88999105374328003</v>
      </c>
      <c r="S17" s="22">
        <v>0.904502128493053</v>
      </c>
      <c r="T17" s="22">
        <v>0.72088476497202902</v>
      </c>
      <c r="U17" s="22">
        <v>0.78889552784063999</v>
      </c>
      <c r="V17" s="22">
        <v>0.79652339480281398</v>
      </c>
      <c r="W17" s="22"/>
      <c r="X17" s="22">
        <v>0.88222364284291199</v>
      </c>
      <c r="Y17" s="22">
        <v>0.799627727234271</v>
      </c>
    </row>
    <row r="18" spans="2:25" x14ac:dyDescent="0.35">
      <c r="B18" s="16"/>
    </row>
    <row r="19" spans="2:25" x14ac:dyDescent="0.35">
      <c r="B19" t="s">
        <v>51</v>
      </c>
    </row>
    <row r="20" spans="2:25" x14ac:dyDescent="0.35">
      <c r="B20" t="s">
        <v>52</v>
      </c>
    </row>
    <row r="22" spans="2:25" x14ac:dyDescent="0.35">
      <c r="B22" s="8" t="str">
        <f>HYPERLINK("#'Contents'!A1", "Return to Contents")</f>
        <v>Return to Contents</v>
      </c>
    </row>
  </sheetData>
  <mergeCells count="5">
    <mergeCell ref="D5:E5"/>
    <mergeCell ref="G5:L5"/>
    <mergeCell ref="N5:V5"/>
    <mergeCell ref="X5:Y5"/>
    <mergeCell ref="D2:W2"/>
  </mergeCells>
  <pageMargins left="0.7" right="0.7" top="0.75" bottom="0.75" header="0.3" footer="0.3"/>
  <pageSetup paperSize="9" orientation="portrait" horizontalDpi="300" verticalDpi="300"/>
  <drawing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B2:Y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s>
  <sheetData>
    <row r="2" spans="2:25" ht="40" customHeight="1" x14ac:dyDescent="0.35">
      <c r="D2" s="30" t="s">
        <v>191</v>
      </c>
      <c r="E2" s="26"/>
      <c r="F2" s="26"/>
      <c r="G2" s="26"/>
      <c r="H2" s="26"/>
      <c r="I2" s="26"/>
      <c r="J2" s="26"/>
      <c r="K2" s="26"/>
      <c r="L2" s="26"/>
      <c r="M2" s="26"/>
      <c r="N2" s="26"/>
      <c r="O2" s="26"/>
      <c r="P2" s="26"/>
      <c r="Q2" s="26"/>
      <c r="R2" s="26"/>
      <c r="S2" s="26"/>
      <c r="T2" s="26"/>
      <c r="U2" s="26"/>
      <c r="V2" s="26"/>
      <c r="W2" s="26"/>
    </row>
    <row r="5" spans="2:25" ht="30" customHeight="1" x14ac:dyDescent="0.35">
      <c r="B5" s="15"/>
      <c r="C5" s="15"/>
      <c r="D5" s="29" t="s">
        <v>38</v>
      </c>
      <c r="E5" s="29"/>
      <c r="F5" s="15"/>
      <c r="G5" s="29" t="s">
        <v>39</v>
      </c>
      <c r="H5" s="29"/>
      <c r="I5" s="29"/>
      <c r="J5" s="29"/>
      <c r="K5" s="29"/>
      <c r="L5" s="29"/>
      <c r="M5" s="15"/>
      <c r="N5" s="29" t="s">
        <v>40</v>
      </c>
      <c r="O5" s="29"/>
      <c r="P5" s="29"/>
      <c r="Q5" s="29"/>
      <c r="R5" s="29"/>
      <c r="S5" s="29"/>
      <c r="T5" s="29"/>
      <c r="U5" s="29"/>
      <c r="V5" s="29"/>
      <c r="W5" s="15"/>
      <c r="X5" s="29" t="s">
        <v>41</v>
      </c>
      <c r="Y5" s="29"/>
    </row>
    <row r="6" spans="2:25" ht="29"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row>
    <row r="7" spans="2:25" ht="30" customHeight="1" x14ac:dyDescent="0.35">
      <c r="B7" s="10" t="s">
        <v>19</v>
      </c>
      <c r="C7" s="10">
        <v>6838</v>
      </c>
      <c r="D7" s="10">
        <v>3283</v>
      </c>
      <c r="E7" s="10">
        <v>3541</v>
      </c>
      <c r="F7" s="10"/>
      <c r="G7" s="10">
        <v>635</v>
      </c>
      <c r="H7" s="10">
        <v>1075</v>
      </c>
      <c r="I7" s="10">
        <v>1093</v>
      </c>
      <c r="J7" s="10">
        <v>1228</v>
      </c>
      <c r="K7" s="10">
        <v>1156</v>
      </c>
      <c r="L7" s="10">
        <v>1651</v>
      </c>
      <c r="M7" s="10"/>
      <c r="N7" s="10">
        <v>208</v>
      </c>
      <c r="O7" s="10">
        <v>200</v>
      </c>
      <c r="P7" s="10">
        <v>1002</v>
      </c>
      <c r="Q7" s="10">
        <v>1000</v>
      </c>
      <c r="R7" s="10">
        <v>1004</v>
      </c>
      <c r="S7" s="10">
        <v>1006</v>
      </c>
      <c r="T7" s="10">
        <v>1006</v>
      </c>
      <c r="U7" s="10">
        <v>1007</v>
      </c>
      <c r="V7" s="10">
        <v>405</v>
      </c>
      <c r="W7" s="10"/>
      <c r="X7" s="10">
        <v>2650</v>
      </c>
      <c r="Y7" s="10">
        <v>4188</v>
      </c>
    </row>
    <row r="8" spans="2:25" ht="30" customHeight="1" x14ac:dyDescent="0.35">
      <c r="B8" s="11" t="s">
        <v>20</v>
      </c>
      <c r="C8" s="11">
        <v>6838</v>
      </c>
      <c r="D8" s="11">
        <v>3309</v>
      </c>
      <c r="E8" s="11">
        <v>3515</v>
      </c>
      <c r="F8" s="11"/>
      <c r="G8" s="11">
        <v>645</v>
      </c>
      <c r="H8" s="11">
        <v>1026</v>
      </c>
      <c r="I8" s="11">
        <v>1111</v>
      </c>
      <c r="J8" s="11">
        <v>1184</v>
      </c>
      <c r="K8" s="11">
        <v>1140</v>
      </c>
      <c r="L8" s="11">
        <v>1732</v>
      </c>
      <c r="M8" s="11"/>
      <c r="N8" s="11">
        <v>208</v>
      </c>
      <c r="O8" s="11">
        <v>200</v>
      </c>
      <c r="P8" s="11">
        <v>1002</v>
      </c>
      <c r="Q8" s="11">
        <v>1000</v>
      </c>
      <c r="R8" s="11">
        <v>1004</v>
      </c>
      <c r="S8" s="11">
        <v>1006</v>
      </c>
      <c r="T8" s="11">
        <v>1006</v>
      </c>
      <c r="U8" s="11">
        <v>1007</v>
      </c>
      <c r="V8" s="11">
        <v>405</v>
      </c>
      <c r="W8" s="11"/>
      <c r="X8" s="11">
        <v>2436</v>
      </c>
      <c r="Y8" s="11">
        <v>4402</v>
      </c>
    </row>
    <row r="9" spans="2:25" x14ac:dyDescent="0.35">
      <c r="B9" s="18" t="s">
        <v>85</v>
      </c>
      <c r="C9" s="17">
        <v>0.35833591829217698</v>
      </c>
      <c r="D9" s="17">
        <v>0.35886286378168603</v>
      </c>
      <c r="E9" s="17">
        <v>0.35767528990976799</v>
      </c>
      <c r="F9" s="17"/>
      <c r="G9" s="17">
        <v>0.50395877734606498</v>
      </c>
      <c r="H9" s="17">
        <v>0.44137673035740899</v>
      </c>
      <c r="I9" s="17">
        <v>0.41450293938881699</v>
      </c>
      <c r="J9" s="17">
        <v>0.374544236031917</v>
      </c>
      <c r="K9" s="17">
        <v>0.31477506669022898</v>
      </c>
      <c r="L9" s="17">
        <v>0.23655210539143801</v>
      </c>
      <c r="M9" s="17"/>
      <c r="N9" s="17">
        <v>0.38446891423264501</v>
      </c>
      <c r="O9" s="17">
        <v>0.33000698108071203</v>
      </c>
      <c r="P9" s="17">
        <v>0.29531660404138899</v>
      </c>
      <c r="Q9" s="17">
        <v>0.401280664929482</v>
      </c>
      <c r="R9" s="17">
        <v>0.29819587070341602</v>
      </c>
      <c r="S9" s="17">
        <v>0.35602226042733898</v>
      </c>
      <c r="T9" s="17">
        <v>0.48052585158625299</v>
      </c>
      <c r="U9" s="17">
        <v>0.33354856869169303</v>
      </c>
      <c r="V9" s="17">
        <v>0.32173509427650598</v>
      </c>
      <c r="W9" s="17"/>
      <c r="X9" s="17">
        <v>0.40952609991768901</v>
      </c>
      <c r="Y9" s="17">
        <v>0.33000898532584699</v>
      </c>
    </row>
    <row r="10" spans="2:25" x14ac:dyDescent="0.35">
      <c r="B10" s="18" t="s">
        <v>86</v>
      </c>
      <c r="C10" s="17">
        <v>0.31964156769908603</v>
      </c>
      <c r="D10" s="17">
        <v>0.33311813797184098</v>
      </c>
      <c r="E10" s="17">
        <v>0.30648342195452799</v>
      </c>
      <c r="F10" s="17"/>
      <c r="G10" s="17">
        <v>0.31718806855215198</v>
      </c>
      <c r="H10" s="17">
        <v>0.36332054601868002</v>
      </c>
      <c r="I10" s="17">
        <v>0.35125640248134898</v>
      </c>
      <c r="J10" s="17">
        <v>0.33358951342292997</v>
      </c>
      <c r="K10" s="17">
        <v>0.30112668629700301</v>
      </c>
      <c r="L10" s="17">
        <v>0.277073448316285</v>
      </c>
      <c r="M10" s="17"/>
      <c r="N10" s="17">
        <v>0.33759963690163403</v>
      </c>
      <c r="O10" s="17">
        <v>0.30180136102634902</v>
      </c>
      <c r="P10" s="17">
        <v>0.28683713321239002</v>
      </c>
      <c r="Q10" s="17">
        <v>0.31257900690468299</v>
      </c>
      <c r="R10" s="17">
        <v>0.38701876649150002</v>
      </c>
      <c r="S10" s="17">
        <v>0.29836098573786302</v>
      </c>
      <c r="T10" s="17">
        <v>0.281644734463532</v>
      </c>
      <c r="U10" s="17">
        <v>0.35610705907259599</v>
      </c>
      <c r="V10" s="17">
        <v>0.30737240566881402</v>
      </c>
      <c r="W10" s="17"/>
      <c r="X10" s="17">
        <v>0.32271064425692603</v>
      </c>
      <c r="Y10" s="17">
        <v>0.31794324346655101</v>
      </c>
    </row>
    <row r="11" spans="2:25" ht="29" x14ac:dyDescent="0.35">
      <c r="B11" s="18" t="s">
        <v>181</v>
      </c>
      <c r="C11" s="17">
        <v>0.14970855076496201</v>
      </c>
      <c r="D11" s="17">
        <v>0.154683009312782</v>
      </c>
      <c r="E11" s="17">
        <v>0.14528636128814301</v>
      </c>
      <c r="F11" s="17"/>
      <c r="G11" s="17">
        <v>0.12512679843337601</v>
      </c>
      <c r="H11" s="17">
        <v>0.13423825528396099</v>
      </c>
      <c r="I11" s="17">
        <v>0.13789563429874199</v>
      </c>
      <c r="J11" s="17">
        <v>0.150690076642745</v>
      </c>
      <c r="K11" s="17">
        <v>0.15211859574332001</v>
      </c>
      <c r="L11" s="17">
        <v>0.17333511656676301</v>
      </c>
      <c r="M11" s="17"/>
      <c r="N11" s="17">
        <v>0.15520492697107</v>
      </c>
      <c r="O11" s="17">
        <v>0.123072961219007</v>
      </c>
      <c r="P11" s="17">
        <v>0.15429563199757501</v>
      </c>
      <c r="Q11" s="17">
        <v>0.126032448308737</v>
      </c>
      <c r="R11" s="17">
        <v>0.153163280691263</v>
      </c>
      <c r="S11" s="17">
        <v>0.13495640380967699</v>
      </c>
      <c r="T11" s="17">
        <v>0.161738086228018</v>
      </c>
      <c r="U11" s="17">
        <v>0.168925050152505</v>
      </c>
      <c r="V11" s="17">
        <v>0.15756806224987799</v>
      </c>
      <c r="W11" s="17"/>
      <c r="X11" s="17">
        <v>0.13980458970140699</v>
      </c>
      <c r="Y11" s="17">
        <v>0.15518907129135701</v>
      </c>
    </row>
    <row r="12" spans="2:25" x14ac:dyDescent="0.35">
      <c r="B12" s="18" t="s">
        <v>88</v>
      </c>
      <c r="C12" s="17">
        <v>6.9459996735899504E-2</v>
      </c>
      <c r="D12" s="17">
        <v>6.4834852838800805E-2</v>
      </c>
      <c r="E12" s="17">
        <v>7.4092047929284893E-2</v>
      </c>
      <c r="F12" s="17"/>
      <c r="G12" s="17">
        <v>3.8901843357925903E-2</v>
      </c>
      <c r="H12" s="17">
        <v>4.23447616936143E-2</v>
      </c>
      <c r="I12" s="17">
        <v>5.32421372342156E-2</v>
      </c>
      <c r="J12" s="17">
        <v>6.7448429498212101E-2</v>
      </c>
      <c r="K12" s="17">
        <v>8.6112499762227401E-2</v>
      </c>
      <c r="L12" s="17">
        <v>9.7700517508118104E-2</v>
      </c>
      <c r="M12" s="17"/>
      <c r="N12" s="17">
        <v>4.5939564237038003E-2</v>
      </c>
      <c r="O12" s="17">
        <v>6.7778923650896203E-2</v>
      </c>
      <c r="P12" s="17">
        <v>9.5494621190788095E-2</v>
      </c>
      <c r="Q12" s="17">
        <v>6.4635876453195101E-2</v>
      </c>
      <c r="R12" s="17">
        <v>7.7864395586625501E-2</v>
      </c>
      <c r="S12" s="17">
        <v>6.3267642839809596E-2</v>
      </c>
      <c r="T12" s="17">
        <v>4.8027971195814097E-2</v>
      </c>
      <c r="U12" s="17">
        <v>5.4797719299359997E-2</v>
      </c>
      <c r="V12" s="17">
        <v>0.114109166614736</v>
      </c>
      <c r="W12" s="17"/>
      <c r="X12" s="17">
        <v>6.2384770630711003E-2</v>
      </c>
      <c r="Y12" s="17">
        <v>7.3375190025688999E-2</v>
      </c>
    </row>
    <row r="13" spans="2:25" x14ac:dyDescent="0.35">
      <c r="B13" s="18" t="s">
        <v>89</v>
      </c>
      <c r="C13" s="17">
        <v>6.2717244481559201E-2</v>
      </c>
      <c r="D13" s="17">
        <v>5.2870522817535903E-2</v>
      </c>
      <c r="E13" s="17">
        <v>7.2237911566511895E-2</v>
      </c>
      <c r="F13" s="17"/>
      <c r="G13" s="17">
        <v>6.3502677418969004E-3</v>
      </c>
      <c r="H13" s="17">
        <v>9.0635059877511494E-3</v>
      </c>
      <c r="I13" s="17">
        <v>1.7686980167221499E-2</v>
      </c>
      <c r="J13" s="17">
        <v>3.7989501657154798E-2</v>
      </c>
      <c r="K13" s="17">
        <v>9.9659445913209702E-2</v>
      </c>
      <c r="L13" s="17">
        <v>0.13692262718442499</v>
      </c>
      <c r="M13" s="17"/>
      <c r="N13" s="17">
        <v>4.6520973448204203E-2</v>
      </c>
      <c r="O13" s="17">
        <v>0.12661535093503001</v>
      </c>
      <c r="P13" s="17">
        <v>0.101125010019463</v>
      </c>
      <c r="Q13" s="17">
        <v>7.2219242053238097E-2</v>
      </c>
      <c r="R13" s="17">
        <v>4.9949513621473401E-2</v>
      </c>
      <c r="S13" s="17">
        <v>8.8619300036070298E-2</v>
      </c>
      <c r="T13" s="17">
        <v>1.8899867549870199E-2</v>
      </c>
      <c r="U13" s="17">
        <v>3.2605844462067303E-2</v>
      </c>
      <c r="V13" s="17">
        <v>7.20170453511398E-2</v>
      </c>
      <c r="W13" s="17"/>
      <c r="X13" s="17">
        <v>4.2147429141411501E-2</v>
      </c>
      <c r="Y13" s="17">
        <v>7.4099891734753703E-2</v>
      </c>
    </row>
    <row r="14" spans="2:25" x14ac:dyDescent="0.35">
      <c r="B14" s="18" t="s">
        <v>69</v>
      </c>
      <c r="C14" s="17">
        <v>4.0136722026315297E-2</v>
      </c>
      <c r="D14" s="17">
        <v>3.5630613277354499E-2</v>
      </c>
      <c r="E14" s="17">
        <v>4.4224967351764698E-2</v>
      </c>
      <c r="F14" s="17"/>
      <c r="G14" s="17">
        <v>8.4742445685844301E-3</v>
      </c>
      <c r="H14" s="17">
        <v>9.6562006585843001E-3</v>
      </c>
      <c r="I14" s="17">
        <v>2.5415906429654401E-2</v>
      </c>
      <c r="J14" s="17">
        <v>3.57382427470401E-2</v>
      </c>
      <c r="K14" s="17">
        <v>4.6207705594010898E-2</v>
      </c>
      <c r="L14" s="17">
        <v>7.8416185032971694E-2</v>
      </c>
      <c r="M14" s="17"/>
      <c r="N14" s="17">
        <v>3.02659842094091E-2</v>
      </c>
      <c r="O14" s="17">
        <v>5.0724422088006399E-2</v>
      </c>
      <c r="P14" s="17">
        <v>6.6930999538394501E-2</v>
      </c>
      <c r="Q14" s="17">
        <v>2.3252761350664598E-2</v>
      </c>
      <c r="R14" s="17">
        <v>3.3808172905722501E-2</v>
      </c>
      <c r="S14" s="17">
        <v>5.8773407149239898E-2</v>
      </c>
      <c r="T14" s="17">
        <v>9.1634889765135601E-3</v>
      </c>
      <c r="U14" s="17">
        <v>5.40157583217784E-2</v>
      </c>
      <c r="V14" s="17">
        <v>2.7198225838926698E-2</v>
      </c>
      <c r="W14" s="17"/>
      <c r="X14" s="17">
        <v>2.3426466351855399E-2</v>
      </c>
      <c r="Y14" s="17">
        <v>4.9383618155802098E-2</v>
      </c>
    </row>
    <row r="15" spans="2:25" x14ac:dyDescent="0.35">
      <c r="B15" s="18" t="s">
        <v>90</v>
      </c>
      <c r="C15" s="21">
        <v>0.67797748599126395</v>
      </c>
      <c r="D15" s="21">
        <v>0.69198100175352695</v>
      </c>
      <c r="E15" s="21">
        <v>0.66415871186429498</v>
      </c>
      <c r="F15" s="21"/>
      <c r="G15" s="21">
        <v>0.82114684589821696</v>
      </c>
      <c r="H15" s="21">
        <v>0.80469727637608901</v>
      </c>
      <c r="I15" s="21">
        <v>0.76575934187016603</v>
      </c>
      <c r="J15" s="21">
        <v>0.70813374945484697</v>
      </c>
      <c r="K15" s="21">
        <v>0.61590175298723104</v>
      </c>
      <c r="L15" s="21">
        <v>0.513625553707722</v>
      </c>
      <c r="M15" s="21"/>
      <c r="N15" s="21">
        <v>0.72206855113427904</v>
      </c>
      <c r="O15" s="21">
        <v>0.63180834210706005</v>
      </c>
      <c r="P15" s="21">
        <v>0.58215373725377795</v>
      </c>
      <c r="Q15" s="21">
        <v>0.71385967183416499</v>
      </c>
      <c r="R15" s="21">
        <v>0.68521463719491604</v>
      </c>
      <c r="S15" s="21">
        <v>0.65438324616520305</v>
      </c>
      <c r="T15" s="21">
        <v>0.76217058604978505</v>
      </c>
      <c r="U15" s="21">
        <v>0.68965562776428901</v>
      </c>
      <c r="V15" s="21">
        <v>0.62910749994532</v>
      </c>
      <c r="W15" s="21"/>
      <c r="X15" s="21">
        <v>0.73223674417461504</v>
      </c>
      <c r="Y15" s="21">
        <v>0.647952228792398</v>
      </c>
    </row>
    <row r="16" spans="2:25" x14ac:dyDescent="0.35">
      <c r="B16" s="18" t="s">
        <v>91</v>
      </c>
      <c r="C16" s="21">
        <v>0.132177241217459</v>
      </c>
      <c r="D16" s="21">
        <v>0.117705375656337</v>
      </c>
      <c r="E16" s="21">
        <v>0.146329959495797</v>
      </c>
      <c r="F16" s="21"/>
      <c r="G16" s="21">
        <v>4.52521110998228E-2</v>
      </c>
      <c r="H16" s="21">
        <v>5.1408267681365402E-2</v>
      </c>
      <c r="I16" s="21">
        <v>7.0929117401437106E-2</v>
      </c>
      <c r="J16" s="21">
        <v>0.105437931155367</v>
      </c>
      <c r="K16" s="21">
        <v>0.18577194567543701</v>
      </c>
      <c r="L16" s="21">
        <v>0.234623144692543</v>
      </c>
      <c r="M16" s="21"/>
      <c r="N16" s="21">
        <v>9.2460537685242206E-2</v>
      </c>
      <c r="O16" s="21">
        <v>0.19439427458592601</v>
      </c>
      <c r="P16" s="21">
        <v>0.196619631210252</v>
      </c>
      <c r="Q16" s="21">
        <v>0.136855118506433</v>
      </c>
      <c r="R16" s="21">
        <v>0.12781390920809901</v>
      </c>
      <c r="S16" s="21">
        <v>0.15188694287588</v>
      </c>
      <c r="T16" s="21">
        <v>6.6927838745684295E-2</v>
      </c>
      <c r="U16" s="21">
        <v>8.7403563761427203E-2</v>
      </c>
      <c r="V16" s="21">
        <v>0.186126211965876</v>
      </c>
      <c r="W16" s="21"/>
      <c r="X16" s="21">
        <v>0.104532199772123</v>
      </c>
      <c r="Y16" s="21">
        <v>0.14747508176044299</v>
      </c>
    </row>
    <row r="17" spans="2:25" x14ac:dyDescent="0.35">
      <c r="B17" s="18" t="s">
        <v>92</v>
      </c>
      <c r="C17" s="22">
        <v>0.54580024477380495</v>
      </c>
      <c r="D17" s="22">
        <v>0.57427562609718996</v>
      </c>
      <c r="E17" s="22">
        <v>0.51782875236849801</v>
      </c>
      <c r="F17" s="22"/>
      <c r="G17" s="22">
        <v>0.77589473479839399</v>
      </c>
      <c r="H17" s="22">
        <v>0.75328900869472404</v>
      </c>
      <c r="I17" s="22">
        <v>0.694830224468729</v>
      </c>
      <c r="J17" s="22">
        <v>0.60269581829948005</v>
      </c>
      <c r="K17" s="22">
        <v>0.43012980731179401</v>
      </c>
      <c r="L17" s="22">
        <v>0.27900240901517898</v>
      </c>
      <c r="M17" s="22"/>
      <c r="N17" s="22">
        <v>0.62960801344903605</v>
      </c>
      <c r="O17" s="22">
        <v>0.43741406752113499</v>
      </c>
      <c r="P17" s="22">
        <v>0.385534106043527</v>
      </c>
      <c r="Q17" s="22">
        <v>0.57700455332773204</v>
      </c>
      <c r="R17" s="22">
        <v>0.55740072798681695</v>
      </c>
      <c r="S17" s="22">
        <v>0.50249630328932304</v>
      </c>
      <c r="T17" s="22">
        <v>0.69524274730409996</v>
      </c>
      <c r="U17" s="22">
        <v>0.60225206400286202</v>
      </c>
      <c r="V17" s="22">
        <v>0.44298128797944403</v>
      </c>
      <c r="W17" s="22"/>
      <c r="X17" s="22">
        <v>0.62770454440249301</v>
      </c>
      <c r="Y17" s="22">
        <v>0.500477147031956</v>
      </c>
    </row>
    <row r="18" spans="2:25" x14ac:dyDescent="0.35">
      <c r="B18" s="16"/>
    </row>
    <row r="19" spans="2:25" x14ac:dyDescent="0.35">
      <c r="B19" t="s">
        <v>51</v>
      </c>
    </row>
    <row r="20" spans="2:25" x14ac:dyDescent="0.35">
      <c r="B20" t="s">
        <v>52</v>
      </c>
    </row>
    <row r="22" spans="2:25" x14ac:dyDescent="0.35">
      <c r="B22" s="8" t="str">
        <f>HYPERLINK("#'Contents'!A1", "Return to Contents")</f>
        <v>Return to Contents</v>
      </c>
    </row>
  </sheetData>
  <mergeCells count="5">
    <mergeCell ref="D5:E5"/>
    <mergeCell ref="G5:L5"/>
    <mergeCell ref="N5:V5"/>
    <mergeCell ref="X5:Y5"/>
    <mergeCell ref="D2:W2"/>
  </mergeCells>
  <pageMargins left="0.7" right="0.7" top="0.75" bottom="0.75" header="0.3" footer="0.3"/>
  <pageSetup paperSize="9" orientation="portrait" horizontalDpi="300" verticalDpi="300"/>
  <drawing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B2:Y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s>
  <sheetData>
    <row r="2" spans="2:25" ht="40" customHeight="1" x14ac:dyDescent="0.35">
      <c r="D2" s="30" t="s">
        <v>192</v>
      </c>
      <c r="E2" s="26"/>
      <c r="F2" s="26"/>
      <c r="G2" s="26"/>
      <c r="H2" s="26"/>
      <c r="I2" s="26"/>
      <c r="J2" s="26"/>
      <c r="K2" s="26"/>
      <c r="L2" s="26"/>
      <c r="M2" s="26"/>
      <c r="N2" s="26"/>
      <c r="O2" s="26"/>
      <c r="P2" s="26"/>
      <c r="Q2" s="26"/>
      <c r="R2" s="26"/>
      <c r="S2" s="26"/>
      <c r="T2" s="26"/>
      <c r="U2" s="26"/>
      <c r="V2" s="26"/>
      <c r="W2" s="26"/>
    </row>
    <row r="5" spans="2:25" ht="30" customHeight="1" x14ac:dyDescent="0.35">
      <c r="B5" s="15"/>
      <c r="C5" s="15"/>
      <c r="D5" s="29" t="s">
        <v>38</v>
      </c>
      <c r="E5" s="29"/>
      <c r="F5" s="15"/>
      <c r="G5" s="29" t="s">
        <v>39</v>
      </c>
      <c r="H5" s="29"/>
      <c r="I5" s="29"/>
      <c r="J5" s="29"/>
      <c r="K5" s="29"/>
      <c r="L5" s="29"/>
      <c r="M5" s="15"/>
      <c r="N5" s="29" t="s">
        <v>40</v>
      </c>
      <c r="O5" s="29"/>
      <c r="P5" s="29"/>
      <c r="Q5" s="29"/>
      <c r="R5" s="29"/>
      <c r="S5" s="29"/>
      <c r="T5" s="29"/>
      <c r="U5" s="29"/>
      <c r="V5" s="29"/>
      <c r="W5" s="15"/>
      <c r="X5" s="29" t="s">
        <v>41</v>
      </c>
      <c r="Y5" s="29"/>
    </row>
    <row r="6" spans="2:25" ht="29"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row>
    <row r="7" spans="2:25" ht="30" customHeight="1" x14ac:dyDescent="0.35">
      <c r="B7" s="10" t="s">
        <v>19</v>
      </c>
      <c r="C7" s="10">
        <v>6838</v>
      </c>
      <c r="D7" s="10">
        <v>3283</v>
      </c>
      <c r="E7" s="10">
        <v>3541</v>
      </c>
      <c r="F7" s="10"/>
      <c r="G7" s="10">
        <v>635</v>
      </c>
      <c r="H7" s="10">
        <v>1075</v>
      </c>
      <c r="I7" s="10">
        <v>1093</v>
      </c>
      <c r="J7" s="10">
        <v>1228</v>
      </c>
      <c r="K7" s="10">
        <v>1156</v>
      </c>
      <c r="L7" s="10">
        <v>1651</v>
      </c>
      <c r="M7" s="10"/>
      <c r="N7" s="10">
        <v>208</v>
      </c>
      <c r="O7" s="10">
        <v>200</v>
      </c>
      <c r="P7" s="10">
        <v>1002</v>
      </c>
      <c r="Q7" s="10">
        <v>1000</v>
      </c>
      <c r="R7" s="10">
        <v>1004</v>
      </c>
      <c r="S7" s="10">
        <v>1006</v>
      </c>
      <c r="T7" s="10">
        <v>1006</v>
      </c>
      <c r="U7" s="10">
        <v>1007</v>
      </c>
      <c r="V7" s="10">
        <v>405</v>
      </c>
      <c r="W7" s="10"/>
      <c r="X7" s="10">
        <v>2650</v>
      </c>
      <c r="Y7" s="10">
        <v>4188</v>
      </c>
    </row>
    <row r="8" spans="2:25" ht="30" customHeight="1" x14ac:dyDescent="0.35">
      <c r="B8" s="11" t="s">
        <v>20</v>
      </c>
      <c r="C8" s="11">
        <v>6838</v>
      </c>
      <c r="D8" s="11">
        <v>3309</v>
      </c>
      <c r="E8" s="11">
        <v>3515</v>
      </c>
      <c r="F8" s="11"/>
      <c r="G8" s="11">
        <v>645</v>
      </c>
      <c r="H8" s="11">
        <v>1026</v>
      </c>
      <c r="I8" s="11">
        <v>1111</v>
      </c>
      <c r="J8" s="11">
        <v>1184</v>
      </c>
      <c r="K8" s="11">
        <v>1140</v>
      </c>
      <c r="L8" s="11">
        <v>1732</v>
      </c>
      <c r="M8" s="11"/>
      <c r="N8" s="11">
        <v>208</v>
      </c>
      <c r="O8" s="11">
        <v>200</v>
      </c>
      <c r="P8" s="11">
        <v>1002</v>
      </c>
      <c r="Q8" s="11">
        <v>1000</v>
      </c>
      <c r="R8" s="11">
        <v>1004</v>
      </c>
      <c r="S8" s="11">
        <v>1006</v>
      </c>
      <c r="T8" s="11">
        <v>1006</v>
      </c>
      <c r="U8" s="11">
        <v>1007</v>
      </c>
      <c r="V8" s="11">
        <v>405</v>
      </c>
      <c r="W8" s="11"/>
      <c r="X8" s="11">
        <v>2436</v>
      </c>
      <c r="Y8" s="11">
        <v>4402</v>
      </c>
    </row>
    <row r="9" spans="2:25" x14ac:dyDescent="0.35">
      <c r="B9" s="18" t="s">
        <v>85</v>
      </c>
      <c r="C9" s="17">
        <v>0.100653077551854</v>
      </c>
      <c r="D9" s="17">
        <v>0.119794497855395</v>
      </c>
      <c r="E9" s="17">
        <v>8.2512810149294596E-2</v>
      </c>
      <c r="F9" s="17"/>
      <c r="G9" s="17">
        <v>0.15161256351937999</v>
      </c>
      <c r="H9" s="17">
        <v>0.151119288553651</v>
      </c>
      <c r="I9" s="17">
        <v>0.14360784538278001</v>
      </c>
      <c r="J9" s="17">
        <v>9.8116732451609401E-2</v>
      </c>
      <c r="K9" s="17">
        <v>7.5231642331338403E-2</v>
      </c>
      <c r="L9" s="17">
        <v>4.27260705822868E-2</v>
      </c>
      <c r="M9" s="17"/>
      <c r="N9" s="17">
        <v>0.151407527361513</v>
      </c>
      <c r="O9" s="17">
        <v>9.0434160828738203E-2</v>
      </c>
      <c r="P9" s="17">
        <v>9.3965965325529005E-2</v>
      </c>
      <c r="Q9" s="17">
        <v>0.115208999403301</v>
      </c>
      <c r="R9" s="17">
        <v>0.105486819272385</v>
      </c>
      <c r="S9" s="17">
        <v>0.112732251202618</v>
      </c>
      <c r="T9" s="17">
        <v>6.8740594700395105E-2</v>
      </c>
      <c r="U9" s="17">
        <v>9.8936172633786901E-2</v>
      </c>
      <c r="V9" s="17">
        <v>0.101787838056858</v>
      </c>
      <c r="W9" s="17"/>
      <c r="X9" s="17">
        <v>0.14197297721650901</v>
      </c>
      <c r="Y9" s="17">
        <v>7.7788028223863007E-2</v>
      </c>
    </row>
    <row r="10" spans="2:25" x14ac:dyDescent="0.35">
      <c r="B10" s="18" t="s">
        <v>86</v>
      </c>
      <c r="C10" s="17">
        <v>0.18755705374832499</v>
      </c>
      <c r="D10" s="17">
        <v>0.21466611412549699</v>
      </c>
      <c r="E10" s="17">
        <v>0.16189706244677099</v>
      </c>
      <c r="F10" s="17"/>
      <c r="G10" s="17">
        <v>0.28269983002528898</v>
      </c>
      <c r="H10" s="17">
        <v>0.26390647413643198</v>
      </c>
      <c r="I10" s="17">
        <v>0.22648284736798199</v>
      </c>
      <c r="J10" s="17">
        <v>0.182393255611565</v>
      </c>
      <c r="K10" s="17">
        <v>0.15475240042611099</v>
      </c>
      <c r="L10" s="17">
        <v>0.107104549039229</v>
      </c>
      <c r="M10" s="17"/>
      <c r="N10" s="17">
        <v>0.19257490318682899</v>
      </c>
      <c r="O10" s="17">
        <v>0.243941932862455</v>
      </c>
      <c r="P10" s="17">
        <v>0.15326729739498601</v>
      </c>
      <c r="Q10" s="17">
        <v>0.223195133800902</v>
      </c>
      <c r="R10" s="17">
        <v>0.25460547879519602</v>
      </c>
      <c r="S10" s="17">
        <v>0.15679071101432501</v>
      </c>
      <c r="T10" s="17">
        <v>0.129959700725954</v>
      </c>
      <c r="U10" s="17">
        <v>0.203628657522884</v>
      </c>
      <c r="V10" s="17">
        <v>0.16729216853920001</v>
      </c>
      <c r="W10" s="17"/>
      <c r="X10" s="17">
        <v>0.221547025472389</v>
      </c>
      <c r="Y10" s="17">
        <v>0.16874814117992001</v>
      </c>
    </row>
    <row r="11" spans="2:25" ht="29" x14ac:dyDescent="0.35">
      <c r="B11" s="18" t="s">
        <v>181</v>
      </c>
      <c r="C11" s="17">
        <v>0.204886272724842</v>
      </c>
      <c r="D11" s="17">
        <v>0.22009042913985899</v>
      </c>
      <c r="E11" s="17">
        <v>0.190253657492305</v>
      </c>
      <c r="F11" s="17"/>
      <c r="G11" s="17">
        <v>0.22615772507093301</v>
      </c>
      <c r="H11" s="17">
        <v>0.227018717767141</v>
      </c>
      <c r="I11" s="17">
        <v>0.240430469295318</v>
      </c>
      <c r="J11" s="17">
        <v>0.21702912717877301</v>
      </c>
      <c r="K11" s="17">
        <v>0.17078564809333399</v>
      </c>
      <c r="L11" s="17">
        <v>0.17521606103055801</v>
      </c>
      <c r="M11" s="17"/>
      <c r="N11" s="17">
        <v>0.200315086340561</v>
      </c>
      <c r="O11" s="17">
        <v>0.17207139986986</v>
      </c>
      <c r="P11" s="17">
        <v>0.183654454209596</v>
      </c>
      <c r="Q11" s="17">
        <v>0.21259724141657099</v>
      </c>
      <c r="R11" s="17">
        <v>0.228777298192025</v>
      </c>
      <c r="S11" s="17">
        <v>0.189227809180989</v>
      </c>
      <c r="T11" s="17">
        <v>0.21074828501655599</v>
      </c>
      <c r="U11" s="17">
        <v>0.22915978228050199</v>
      </c>
      <c r="V11" s="17">
        <v>0.161682102521191</v>
      </c>
      <c r="W11" s="17"/>
      <c r="X11" s="17">
        <v>0.21663476000437501</v>
      </c>
      <c r="Y11" s="17">
        <v>0.19838505313437901</v>
      </c>
    </row>
    <row r="12" spans="2:25" x14ac:dyDescent="0.35">
      <c r="B12" s="18" t="s">
        <v>88</v>
      </c>
      <c r="C12" s="17">
        <v>0.153297590352693</v>
      </c>
      <c r="D12" s="17">
        <v>0.151349970542561</v>
      </c>
      <c r="E12" s="17">
        <v>0.15457759322540801</v>
      </c>
      <c r="F12" s="17"/>
      <c r="G12" s="17">
        <v>0.16737117454237299</v>
      </c>
      <c r="H12" s="17">
        <v>0.16617550954037599</v>
      </c>
      <c r="I12" s="17">
        <v>0.13567878193199201</v>
      </c>
      <c r="J12" s="17">
        <v>0.15519774916941101</v>
      </c>
      <c r="K12" s="17">
        <v>0.15415357460183601</v>
      </c>
      <c r="L12" s="17">
        <v>0.149876352119619</v>
      </c>
      <c r="M12" s="17"/>
      <c r="N12" s="17">
        <v>0.129493640437503</v>
      </c>
      <c r="O12" s="17">
        <v>0.24373103231821899</v>
      </c>
      <c r="P12" s="17">
        <v>0.14981393259216899</v>
      </c>
      <c r="Q12" s="17">
        <v>0.154584962060652</v>
      </c>
      <c r="R12" s="17">
        <v>0.15685025332990801</v>
      </c>
      <c r="S12" s="17">
        <v>0.12888700280607299</v>
      </c>
      <c r="T12" s="17">
        <v>0.189950877888764</v>
      </c>
      <c r="U12" s="17">
        <v>0.104072133231736</v>
      </c>
      <c r="V12" s="17">
        <v>0.209482262104871</v>
      </c>
      <c r="W12" s="17"/>
      <c r="X12" s="17">
        <v>0.154278989760572</v>
      </c>
      <c r="Y12" s="17">
        <v>0.15275451677183399</v>
      </c>
    </row>
    <row r="13" spans="2:25" x14ac:dyDescent="0.35">
      <c r="B13" s="18" t="s">
        <v>89</v>
      </c>
      <c r="C13" s="17">
        <v>0.23244379073160901</v>
      </c>
      <c r="D13" s="17">
        <v>0.19388074168279301</v>
      </c>
      <c r="E13" s="17">
        <v>0.26939517785686201</v>
      </c>
      <c r="F13" s="17"/>
      <c r="G13" s="17">
        <v>0.121708348395551</v>
      </c>
      <c r="H13" s="17">
        <v>0.142414033840913</v>
      </c>
      <c r="I13" s="17">
        <v>0.15955528282391801</v>
      </c>
      <c r="J13" s="17">
        <v>0.23445291788928699</v>
      </c>
      <c r="K13" s="17">
        <v>0.29873984644186502</v>
      </c>
      <c r="L13" s="17">
        <v>0.32869413377479001</v>
      </c>
      <c r="M13" s="17"/>
      <c r="N13" s="17">
        <v>0.18987479104952401</v>
      </c>
      <c r="O13" s="17">
        <v>0.211720199725695</v>
      </c>
      <c r="P13" s="17">
        <v>0.29901076426034101</v>
      </c>
      <c r="Q13" s="17">
        <v>0.23533476187233399</v>
      </c>
      <c r="R13" s="17">
        <v>0.16638290888073601</v>
      </c>
      <c r="S13" s="17">
        <v>0.26372999444380002</v>
      </c>
      <c r="T13" s="17">
        <v>0.30370693022383999</v>
      </c>
      <c r="U13" s="17">
        <v>0.111113768025791</v>
      </c>
      <c r="V13" s="17">
        <v>0.30342603887464997</v>
      </c>
      <c r="W13" s="17"/>
      <c r="X13" s="17">
        <v>0.18456502860209301</v>
      </c>
      <c r="Y13" s="17">
        <v>0.25893829499564103</v>
      </c>
    </row>
    <row r="14" spans="2:25" x14ac:dyDescent="0.35">
      <c r="B14" s="18" t="s">
        <v>69</v>
      </c>
      <c r="C14" s="17">
        <v>0.121162214890676</v>
      </c>
      <c r="D14" s="17">
        <v>0.100218246653895</v>
      </c>
      <c r="E14" s="17">
        <v>0.14136369882935901</v>
      </c>
      <c r="F14" s="17"/>
      <c r="G14" s="17">
        <v>5.04503584464744E-2</v>
      </c>
      <c r="H14" s="17">
        <v>4.9365976161486601E-2</v>
      </c>
      <c r="I14" s="17">
        <v>9.4244773198010098E-2</v>
      </c>
      <c r="J14" s="17">
        <v>0.11281021769935499</v>
      </c>
      <c r="K14" s="17">
        <v>0.14633688810551601</v>
      </c>
      <c r="L14" s="17">
        <v>0.19638283345351701</v>
      </c>
      <c r="M14" s="17"/>
      <c r="N14" s="17">
        <v>0.136334051624069</v>
      </c>
      <c r="O14" s="17">
        <v>3.8101274395033101E-2</v>
      </c>
      <c r="P14" s="17">
        <v>0.12028758621737901</v>
      </c>
      <c r="Q14" s="17">
        <v>5.9078901446239201E-2</v>
      </c>
      <c r="R14" s="17">
        <v>8.7897241529749301E-2</v>
      </c>
      <c r="S14" s="17">
        <v>0.148632231352195</v>
      </c>
      <c r="T14" s="17">
        <v>9.6893611444491407E-2</v>
      </c>
      <c r="U14" s="17">
        <v>0.25308948630529898</v>
      </c>
      <c r="V14" s="17">
        <v>5.6329589903231003E-2</v>
      </c>
      <c r="W14" s="17"/>
      <c r="X14" s="17">
        <v>8.1001218944061995E-2</v>
      </c>
      <c r="Y14" s="17">
        <v>0.14338596569436299</v>
      </c>
    </row>
    <row r="15" spans="2:25" x14ac:dyDescent="0.35">
      <c r="B15" s="18" t="s">
        <v>90</v>
      </c>
      <c r="C15" s="21">
        <v>0.28821013130017897</v>
      </c>
      <c r="D15" s="21">
        <v>0.334460611980892</v>
      </c>
      <c r="E15" s="21">
        <v>0.244409872596066</v>
      </c>
      <c r="F15" s="21"/>
      <c r="G15" s="21">
        <v>0.434312393544669</v>
      </c>
      <c r="H15" s="21">
        <v>0.41502576269008301</v>
      </c>
      <c r="I15" s="21">
        <v>0.37009069275076201</v>
      </c>
      <c r="J15" s="21">
        <v>0.28050998806317501</v>
      </c>
      <c r="K15" s="21">
        <v>0.22998404275744899</v>
      </c>
      <c r="L15" s="21">
        <v>0.149830619621516</v>
      </c>
      <c r="M15" s="21"/>
      <c r="N15" s="21">
        <v>0.34398243054834199</v>
      </c>
      <c r="O15" s="21">
        <v>0.33437609369119298</v>
      </c>
      <c r="P15" s="21">
        <v>0.24723326272051499</v>
      </c>
      <c r="Q15" s="21">
        <v>0.33840413320420298</v>
      </c>
      <c r="R15" s="21">
        <v>0.36009229806758097</v>
      </c>
      <c r="S15" s="21">
        <v>0.269522962216943</v>
      </c>
      <c r="T15" s="21">
        <v>0.19870029542634901</v>
      </c>
      <c r="U15" s="21">
        <v>0.30256483015667102</v>
      </c>
      <c r="V15" s="21">
        <v>0.26908000659605802</v>
      </c>
      <c r="W15" s="21"/>
      <c r="X15" s="21">
        <v>0.363520002688898</v>
      </c>
      <c r="Y15" s="21">
        <v>0.24653616940378301</v>
      </c>
    </row>
    <row r="16" spans="2:25" x14ac:dyDescent="0.35">
      <c r="B16" s="18" t="s">
        <v>91</v>
      </c>
      <c r="C16" s="21">
        <v>0.385741381084302</v>
      </c>
      <c r="D16" s="21">
        <v>0.34523071222535401</v>
      </c>
      <c r="E16" s="21">
        <v>0.42397277108226999</v>
      </c>
      <c r="F16" s="21"/>
      <c r="G16" s="21">
        <v>0.28907952293792399</v>
      </c>
      <c r="H16" s="21">
        <v>0.30858954338128902</v>
      </c>
      <c r="I16" s="21">
        <v>0.29523406475591002</v>
      </c>
      <c r="J16" s="21">
        <v>0.389650667058698</v>
      </c>
      <c r="K16" s="21">
        <v>0.45289342104370101</v>
      </c>
      <c r="L16" s="21">
        <v>0.47857048589440898</v>
      </c>
      <c r="M16" s="21"/>
      <c r="N16" s="21">
        <v>0.31936843148702798</v>
      </c>
      <c r="O16" s="21">
        <v>0.45545123204391302</v>
      </c>
      <c r="P16" s="21">
        <v>0.44882469685250997</v>
      </c>
      <c r="Q16" s="21">
        <v>0.38991972393298602</v>
      </c>
      <c r="R16" s="21">
        <v>0.32323316221064402</v>
      </c>
      <c r="S16" s="21">
        <v>0.39261699724987298</v>
      </c>
      <c r="T16" s="21">
        <v>0.49365780811260401</v>
      </c>
      <c r="U16" s="21">
        <v>0.21518590125752801</v>
      </c>
      <c r="V16" s="21">
        <v>0.51290830097952</v>
      </c>
      <c r="W16" s="21"/>
      <c r="X16" s="21">
        <v>0.33884401836266498</v>
      </c>
      <c r="Y16" s="21">
        <v>0.41169281176747602</v>
      </c>
    </row>
    <row r="17" spans="2:25" x14ac:dyDescent="0.35">
      <c r="B17" s="18" t="s">
        <v>92</v>
      </c>
      <c r="C17" s="22">
        <v>-9.7531249784122906E-2</v>
      </c>
      <c r="D17" s="22">
        <v>-1.0770100244461799E-2</v>
      </c>
      <c r="E17" s="22">
        <v>-0.17956289848620499</v>
      </c>
      <c r="F17" s="22"/>
      <c r="G17" s="22">
        <v>0.145232870606746</v>
      </c>
      <c r="H17" s="22">
        <v>0.106436219308794</v>
      </c>
      <c r="I17" s="22">
        <v>7.4856627994852196E-2</v>
      </c>
      <c r="J17" s="22">
        <v>-0.109140678995523</v>
      </c>
      <c r="K17" s="22">
        <v>-0.22290937828625099</v>
      </c>
      <c r="L17" s="22">
        <v>-0.32873986627289298</v>
      </c>
      <c r="M17" s="22"/>
      <c r="N17" s="22">
        <v>2.4613999061314801E-2</v>
      </c>
      <c r="O17" s="22">
        <v>-0.12107513835272</v>
      </c>
      <c r="P17" s="22">
        <v>-0.20159143413199601</v>
      </c>
      <c r="Q17" s="22">
        <v>-5.1515590728782999E-2</v>
      </c>
      <c r="R17" s="22">
        <v>3.6859135856936801E-2</v>
      </c>
      <c r="S17" s="22">
        <v>-0.123094035032929</v>
      </c>
      <c r="T17" s="22">
        <v>-0.29495751268625497</v>
      </c>
      <c r="U17" s="22">
        <v>8.7378928899143601E-2</v>
      </c>
      <c r="V17" s="22">
        <v>-0.24382829438346301</v>
      </c>
      <c r="W17" s="22"/>
      <c r="X17" s="22">
        <v>2.46759843262329E-2</v>
      </c>
      <c r="Y17" s="22">
        <v>-0.16515664236369301</v>
      </c>
    </row>
    <row r="18" spans="2:25" x14ac:dyDescent="0.35">
      <c r="B18" s="16"/>
    </row>
    <row r="19" spans="2:25" x14ac:dyDescent="0.35">
      <c r="B19" t="s">
        <v>51</v>
      </c>
    </row>
    <row r="20" spans="2:25" x14ac:dyDescent="0.35">
      <c r="B20" t="s">
        <v>52</v>
      </c>
    </row>
    <row r="22" spans="2:25" x14ac:dyDescent="0.35">
      <c r="B22" s="8" t="str">
        <f>HYPERLINK("#'Contents'!A1", "Return to Contents")</f>
        <v>Return to Contents</v>
      </c>
    </row>
  </sheetData>
  <mergeCells count="5">
    <mergeCell ref="D5:E5"/>
    <mergeCell ref="G5:L5"/>
    <mergeCell ref="N5:V5"/>
    <mergeCell ref="X5:Y5"/>
    <mergeCell ref="D2:W2"/>
  </mergeCells>
  <pageMargins left="0.7" right="0.7" top="0.75" bottom="0.75" header="0.3" footer="0.3"/>
  <pageSetup paperSize="9" orientation="portrait" horizontalDpi="300" verticalDpi="300"/>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B2:Y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s>
  <sheetData>
    <row r="2" spans="2:25" ht="40" customHeight="1" x14ac:dyDescent="0.35">
      <c r="D2" s="30" t="s">
        <v>193</v>
      </c>
      <c r="E2" s="26"/>
      <c r="F2" s="26"/>
      <c r="G2" s="26"/>
      <c r="H2" s="26"/>
      <c r="I2" s="26"/>
      <c r="J2" s="26"/>
      <c r="K2" s="26"/>
      <c r="L2" s="26"/>
      <c r="M2" s="26"/>
      <c r="N2" s="26"/>
      <c r="O2" s="26"/>
      <c r="P2" s="26"/>
      <c r="Q2" s="26"/>
      <c r="R2" s="26"/>
      <c r="S2" s="26"/>
      <c r="T2" s="26"/>
      <c r="U2" s="26"/>
      <c r="V2" s="26"/>
      <c r="W2" s="26"/>
    </row>
    <row r="5" spans="2:25" ht="30" customHeight="1" x14ac:dyDescent="0.35">
      <c r="B5" s="15"/>
      <c r="C5" s="15"/>
      <c r="D5" s="29" t="s">
        <v>38</v>
      </c>
      <c r="E5" s="29"/>
      <c r="F5" s="15"/>
      <c r="G5" s="29" t="s">
        <v>39</v>
      </c>
      <c r="H5" s="29"/>
      <c r="I5" s="29"/>
      <c r="J5" s="29"/>
      <c r="K5" s="29"/>
      <c r="L5" s="29"/>
      <c r="M5" s="15"/>
      <c r="N5" s="29" t="s">
        <v>40</v>
      </c>
      <c r="O5" s="29"/>
      <c r="P5" s="29"/>
      <c r="Q5" s="29"/>
      <c r="R5" s="29"/>
      <c r="S5" s="29"/>
      <c r="T5" s="29"/>
      <c r="U5" s="29"/>
      <c r="V5" s="29"/>
      <c r="W5" s="15"/>
      <c r="X5" s="29" t="s">
        <v>41</v>
      </c>
      <c r="Y5" s="29"/>
    </row>
    <row r="6" spans="2:25" ht="29"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row>
    <row r="7" spans="2:25" ht="30" customHeight="1" x14ac:dyDescent="0.35">
      <c r="B7" s="10" t="s">
        <v>19</v>
      </c>
      <c r="C7" s="10">
        <v>6838</v>
      </c>
      <c r="D7" s="10">
        <v>3283</v>
      </c>
      <c r="E7" s="10">
        <v>3541</v>
      </c>
      <c r="F7" s="10"/>
      <c r="G7" s="10">
        <v>635</v>
      </c>
      <c r="H7" s="10">
        <v>1075</v>
      </c>
      <c r="I7" s="10">
        <v>1093</v>
      </c>
      <c r="J7" s="10">
        <v>1228</v>
      </c>
      <c r="K7" s="10">
        <v>1156</v>
      </c>
      <c r="L7" s="10">
        <v>1651</v>
      </c>
      <c r="M7" s="10"/>
      <c r="N7" s="10">
        <v>208</v>
      </c>
      <c r="O7" s="10">
        <v>200</v>
      </c>
      <c r="P7" s="10">
        <v>1002</v>
      </c>
      <c r="Q7" s="10">
        <v>1000</v>
      </c>
      <c r="R7" s="10">
        <v>1004</v>
      </c>
      <c r="S7" s="10">
        <v>1006</v>
      </c>
      <c r="T7" s="10">
        <v>1006</v>
      </c>
      <c r="U7" s="10">
        <v>1007</v>
      </c>
      <c r="V7" s="10">
        <v>405</v>
      </c>
      <c r="W7" s="10"/>
      <c r="X7" s="10">
        <v>2650</v>
      </c>
      <c r="Y7" s="10">
        <v>4188</v>
      </c>
    </row>
    <row r="8" spans="2:25" ht="30" customHeight="1" x14ac:dyDescent="0.35">
      <c r="B8" s="11" t="s">
        <v>20</v>
      </c>
      <c r="C8" s="11">
        <v>6838</v>
      </c>
      <c r="D8" s="11">
        <v>3309</v>
      </c>
      <c r="E8" s="11">
        <v>3515</v>
      </c>
      <c r="F8" s="11"/>
      <c r="G8" s="11">
        <v>645</v>
      </c>
      <c r="H8" s="11">
        <v>1026</v>
      </c>
      <c r="I8" s="11">
        <v>1111</v>
      </c>
      <c r="J8" s="11">
        <v>1184</v>
      </c>
      <c r="K8" s="11">
        <v>1140</v>
      </c>
      <c r="L8" s="11">
        <v>1732</v>
      </c>
      <c r="M8" s="11"/>
      <c r="N8" s="11">
        <v>208</v>
      </c>
      <c r="O8" s="11">
        <v>200</v>
      </c>
      <c r="P8" s="11">
        <v>1002</v>
      </c>
      <c r="Q8" s="11">
        <v>1000</v>
      </c>
      <c r="R8" s="11">
        <v>1004</v>
      </c>
      <c r="S8" s="11">
        <v>1006</v>
      </c>
      <c r="T8" s="11">
        <v>1006</v>
      </c>
      <c r="U8" s="11">
        <v>1007</v>
      </c>
      <c r="V8" s="11">
        <v>405</v>
      </c>
      <c r="W8" s="11"/>
      <c r="X8" s="11">
        <v>2436</v>
      </c>
      <c r="Y8" s="11">
        <v>4402</v>
      </c>
    </row>
    <row r="9" spans="2:25" x14ac:dyDescent="0.35">
      <c r="B9" s="18" t="s">
        <v>85</v>
      </c>
      <c r="C9" s="17">
        <v>8.9382796054684396E-2</v>
      </c>
      <c r="D9" s="17">
        <v>0.100893303413607</v>
      </c>
      <c r="E9" s="17">
        <v>7.8375912541711806E-2</v>
      </c>
      <c r="F9" s="17"/>
      <c r="G9" s="17">
        <v>0.135377732577318</v>
      </c>
      <c r="H9" s="17">
        <v>0.124872828108893</v>
      </c>
      <c r="I9" s="17">
        <v>0.122908566094653</v>
      </c>
      <c r="J9" s="17">
        <v>8.7989327405696496E-2</v>
      </c>
      <c r="K9" s="17">
        <v>6.3499543806057504E-2</v>
      </c>
      <c r="L9" s="17">
        <v>4.7740252839724502E-2</v>
      </c>
      <c r="M9" s="17"/>
      <c r="N9" s="17">
        <v>0.108988642210361</v>
      </c>
      <c r="O9" s="17">
        <v>6.91964106018578E-2</v>
      </c>
      <c r="P9" s="17">
        <v>8.8762069689956702E-2</v>
      </c>
      <c r="Q9" s="17">
        <v>5.9103885038470999E-2</v>
      </c>
      <c r="R9" s="17">
        <v>0.103475129772963</v>
      </c>
      <c r="S9" s="17">
        <v>8.9968150903889405E-2</v>
      </c>
      <c r="T9" s="17">
        <v>5.9165236578495602E-2</v>
      </c>
      <c r="U9" s="17">
        <v>0.139680160595439</v>
      </c>
      <c r="V9" s="17">
        <v>7.9190175395200194E-2</v>
      </c>
      <c r="W9" s="17"/>
      <c r="X9" s="17">
        <v>0.114948052233496</v>
      </c>
      <c r="Y9" s="17">
        <v>7.5235839059256404E-2</v>
      </c>
    </row>
    <row r="10" spans="2:25" x14ac:dyDescent="0.35">
      <c r="B10" s="18" t="s">
        <v>86</v>
      </c>
      <c r="C10" s="17">
        <v>0.167109056053108</v>
      </c>
      <c r="D10" s="17">
        <v>0.18659804522704901</v>
      </c>
      <c r="E10" s="17">
        <v>0.149430782040332</v>
      </c>
      <c r="F10" s="17"/>
      <c r="G10" s="17">
        <v>0.19495843377303701</v>
      </c>
      <c r="H10" s="17">
        <v>0.20020205240247799</v>
      </c>
      <c r="I10" s="17">
        <v>0.20413188256829801</v>
      </c>
      <c r="J10" s="17">
        <v>0.16089742022299</v>
      </c>
      <c r="K10" s="17">
        <v>0.14715801102498499</v>
      </c>
      <c r="L10" s="17">
        <v>0.13078293177025699</v>
      </c>
      <c r="M10" s="17"/>
      <c r="N10" s="17">
        <v>0.202683715838652</v>
      </c>
      <c r="O10" s="17">
        <v>0.18533627100927899</v>
      </c>
      <c r="P10" s="17">
        <v>0.200072178708179</v>
      </c>
      <c r="Q10" s="17">
        <v>9.8809372671322407E-2</v>
      </c>
      <c r="R10" s="17">
        <v>0.21641960643163</v>
      </c>
      <c r="S10" s="17">
        <v>0.113690274332999</v>
      </c>
      <c r="T10" s="17">
        <v>0.105459040771366</v>
      </c>
      <c r="U10" s="17">
        <v>0.27122582225164699</v>
      </c>
      <c r="V10" s="17">
        <v>0.13163126814366299</v>
      </c>
      <c r="W10" s="17"/>
      <c r="X10" s="17">
        <v>0.18693665328607201</v>
      </c>
      <c r="Y10" s="17">
        <v>0.156137127455346</v>
      </c>
    </row>
    <row r="11" spans="2:25" ht="29" x14ac:dyDescent="0.35">
      <c r="B11" s="18" t="s">
        <v>181</v>
      </c>
      <c r="C11" s="17">
        <v>0.181267698520682</v>
      </c>
      <c r="D11" s="17">
        <v>0.192273641555012</v>
      </c>
      <c r="E11" s="17">
        <v>0.16956107327640299</v>
      </c>
      <c r="F11" s="17"/>
      <c r="G11" s="17">
        <v>0.22560417166728799</v>
      </c>
      <c r="H11" s="17">
        <v>0.179975616220823</v>
      </c>
      <c r="I11" s="17">
        <v>0.19014932542708199</v>
      </c>
      <c r="J11" s="17">
        <v>0.20262832353635901</v>
      </c>
      <c r="K11" s="17">
        <v>0.14766171364775099</v>
      </c>
      <c r="L11" s="17">
        <v>0.16735912526702099</v>
      </c>
      <c r="M11" s="17"/>
      <c r="N11" s="17">
        <v>0.13696246854240601</v>
      </c>
      <c r="O11" s="17">
        <v>0.13460162833898801</v>
      </c>
      <c r="P11" s="17">
        <v>0.194225052284732</v>
      </c>
      <c r="Q11" s="17">
        <v>0.130065666093859</v>
      </c>
      <c r="R11" s="17">
        <v>0.22877097489585199</v>
      </c>
      <c r="S11" s="17">
        <v>0.167298514744226</v>
      </c>
      <c r="T11" s="17">
        <v>0.15654789478207201</v>
      </c>
      <c r="U11" s="17">
        <v>0.24365651899956001</v>
      </c>
      <c r="V11" s="17">
        <v>0.14464981102517999</v>
      </c>
      <c r="W11" s="17"/>
      <c r="X11" s="17">
        <v>0.18430528801186699</v>
      </c>
      <c r="Y11" s="17">
        <v>0.17958679817683301</v>
      </c>
    </row>
    <row r="12" spans="2:25" x14ac:dyDescent="0.35">
      <c r="B12" s="18" t="s">
        <v>88</v>
      </c>
      <c r="C12" s="17">
        <v>0.15149406048967401</v>
      </c>
      <c r="D12" s="17">
        <v>0.151760065958879</v>
      </c>
      <c r="E12" s="17">
        <v>0.15133178168980199</v>
      </c>
      <c r="F12" s="17"/>
      <c r="G12" s="17">
        <v>0.18126273581035299</v>
      </c>
      <c r="H12" s="17">
        <v>0.150748803198789</v>
      </c>
      <c r="I12" s="17">
        <v>0.151693589022694</v>
      </c>
      <c r="J12" s="17">
        <v>0.15053334512535599</v>
      </c>
      <c r="K12" s="17">
        <v>0.16133926688159</v>
      </c>
      <c r="L12" s="17">
        <v>0.134905136054875</v>
      </c>
      <c r="M12" s="17"/>
      <c r="N12" s="17">
        <v>0.17131377710736501</v>
      </c>
      <c r="O12" s="17">
        <v>0.154582715455196</v>
      </c>
      <c r="P12" s="17">
        <v>0.14023010121068699</v>
      </c>
      <c r="Q12" s="17">
        <v>0.17041064781092199</v>
      </c>
      <c r="R12" s="17">
        <v>0.158376320843509</v>
      </c>
      <c r="S12" s="17">
        <v>0.15280022084383199</v>
      </c>
      <c r="T12" s="17">
        <v>0.192765960773121</v>
      </c>
      <c r="U12" s="17">
        <v>7.4677249260439005E-2</v>
      </c>
      <c r="V12" s="17">
        <v>0.189125858854785</v>
      </c>
      <c r="W12" s="17"/>
      <c r="X12" s="17">
        <v>0.161255045099963</v>
      </c>
      <c r="Y12" s="17">
        <v>0.146092658346509</v>
      </c>
    </row>
    <row r="13" spans="2:25" x14ac:dyDescent="0.35">
      <c r="B13" s="18" t="s">
        <v>89</v>
      </c>
      <c r="C13" s="17">
        <v>0.28612962060972302</v>
      </c>
      <c r="D13" s="17">
        <v>0.262905268601486</v>
      </c>
      <c r="E13" s="17">
        <v>0.308546386194266</v>
      </c>
      <c r="F13" s="17"/>
      <c r="G13" s="17">
        <v>0.19218758259712801</v>
      </c>
      <c r="H13" s="17">
        <v>0.28503607167151301</v>
      </c>
      <c r="I13" s="17">
        <v>0.224135050700737</v>
      </c>
      <c r="J13" s="17">
        <v>0.27694947545454002</v>
      </c>
      <c r="K13" s="17">
        <v>0.32965079077195902</v>
      </c>
      <c r="L13" s="17">
        <v>0.33913055549930499</v>
      </c>
      <c r="M13" s="17"/>
      <c r="N13" s="17">
        <v>0.25031461021086798</v>
      </c>
      <c r="O13" s="17">
        <v>0.32892441283875401</v>
      </c>
      <c r="P13" s="17">
        <v>0.257707987854642</v>
      </c>
      <c r="Q13" s="17">
        <v>0.470946552424651</v>
      </c>
      <c r="R13" s="17">
        <v>0.177151907262696</v>
      </c>
      <c r="S13" s="17">
        <v>0.30994219702229497</v>
      </c>
      <c r="T13" s="17">
        <v>0.362199807263972</v>
      </c>
      <c r="U13" s="17">
        <v>0.102576020909426</v>
      </c>
      <c r="V13" s="17">
        <v>0.375813935118885</v>
      </c>
      <c r="W13" s="17"/>
      <c r="X13" s="17">
        <v>0.26698574239805001</v>
      </c>
      <c r="Y13" s="17">
        <v>0.29672320198798102</v>
      </c>
    </row>
    <row r="14" spans="2:25" x14ac:dyDescent="0.35">
      <c r="B14" s="18" t="s">
        <v>69</v>
      </c>
      <c r="C14" s="17">
        <v>0.124616768272129</v>
      </c>
      <c r="D14" s="17">
        <v>0.105569675243968</v>
      </c>
      <c r="E14" s="17">
        <v>0.14275406425748499</v>
      </c>
      <c r="F14" s="17"/>
      <c r="G14" s="17">
        <v>7.0609343574875597E-2</v>
      </c>
      <c r="H14" s="17">
        <v>5.9164628397503097E-2</v>
      </c>
      <c r="I14" s="17">
        <v>0.106981586186536</v>
      </c>
      <c r="J14" s="17">
        <v>0.121002108255059</v>
      </c>
      <c r="K14" s="17">
        <v>0.150690673867658</v>
      </c>
      <c r="L14" s="17">
        <v>0.18008199856881699</v>
      </c>
      <c r="M14" s="17"/>
      <c r="N14" s="17">
        <v>0.129736786090348</v>
      </c>
      <c r="O14" s="17">
        <v>0.127358561755926</v>
      </c>
      <c r="P14" s="17">
        <v>0.119002610251803</v>
      </c>
      <c r="Q14" s="17">
        <v>7.06638759607741E-2</v>
      </c>
      <c r="R14" s="17">
        <v>0.115806060793351</v>
      </c>
      <c r="S14" s="17">
        <v>0.166300642152759</v>
      </c>
      <c r="T14" s="17">
        <v>0.123862059830973</v>
      </c>
      <c r="U14" s="17">
        <v>0.168184227983488</v>
      </c>
      <c r="V14" s="17">
        <v>7.9588951462287102E-2</v>
      </c>
      <c r="W14" s="17"/>
      <c r="X14" s="17">
        <v>8.5569218970552502E-2</v>
      </c>
      <c r="Y14" s="17">
        <v>0.14622437497407401</v>
      </c>
    </row>
    <row r="15" spans="2:25" x14ac:dyDescent="0.35">
      <c r="B15" s="18" t="s">
        <v>90</v>
      </c>
      <c r="C15" s="21">
        <v>0.25649185210779202</v>
      </c>
      <c r="D15" s="21">
        <v>0.28749134864065601</v>
      </c>
      <c r="E15" s="21">
        <v>0.227806694582044</v>
      </c>
      <c r="F15" s="21"/>
      <c r="G15" s="21">
        <v>0.33033616635035501</v>
      </c>
      <c r="H15" s="21">
        <v>0.32507488051137201</v>
      </c>
      <c r="I15" s="21">
        <v>0.32704044866295101</v>
      </c>
      <c r="J15" s="21">
        <v>0.24888674762868601</v>
      </c>
      <c r="K15" s="21">
        <v>0.21065755483104201</v>
      </c>
      <c r="L15" s="21">
        <v>0.17852318460998201</v>
      </c>
      <c r="M15" s="21"/>
      <c r="N15" s="21">
        <v>0.311672358049013</v>
      </c>
      <c r="O15" s="21">
        <v>0.25453268161113601</v>
      </c>
      <c r="P15" s="21">
        <v>0.28883424839813598</v>
      </c>
      <c r="Q15" s="21">
        <v>0.157913257709793</v>
      </c>
      <c r="R15" s="21">
        <v>0.31989473620459302</v>
      </c>
      <c r="S15" s="21">
        <v>0.20365842523688801</v>
      </c>
      <c r="T15" s="21">
        <v>0.16462427734986099</v>
      </c>
      <c r="U15" s="21">
        <v>0.41090598284708701</v>
      </c>
      <c r="V15" s="21">
        <v>0.21082144353886301</v>
      </c>
      <c r="W15" s="21"/>
      <c r="X15" s="21">
        <v>0.30188470551956798</v>
      </c>
      <c r="Y15" s="21">
        <v>0.23137296651460301</v>
      </c>
    </row>
    <row r="16" spans="2:25" x14ac:dyDescent="0.35">
      <c r="B16" s="18" t="s">
        <v>91</v>
      </c>
      <c r="C16" s="21">
        <v>0.43762368109939698</v>
      </c>
      <c r="D16" s="21">
        <v>0.41466533456036497</v>
      </c>
      <c r="E16" s="21">
        <v>0.45987816788406699</v>
      </c>
      <c r="F16" s="21"/>
      <c r="G16" s="21">
        <v>0.373450318407481</v>
      </c>
      <c r="H16" s="21">
        <v>0.43578487487030199</v>
      </c>
      <c r="I16" s="21">
        <v>0.375828639723431</v>
      </c>
      <c r="J16" s="21">
        <v>0.42748282057989601</v>
      </c>
      <c r="K16" s="21">
        <v>0.49099005765355003</v>
      </c>
      <c r="L16" s="21">
        <v>0.47403569155418002</v>
      </c>
      <c r="M16" s="21"/>
      <c r="N16" s="21">
        <v>0.42162838731823299</v>
      </c>
      <c r="O16" s="21">
        <v>0.48350712829394898</v>
      </c>
      <c r="P16" s="21">
        <v>0.39793808906532901</v>
      </c>
      <c r="Q16" s="21">
        <v>0.64135720023557297</v>
      </c>
      <c r="R16" s="21">
        <v>0.33552822810620497</v>
      </c>
      <c r="S16" s="21">
        <v>0.46274241786612702</v>
      </c>
      <c r="T16" s="21">
        <v>0.55496576803709297</v>
      </c>
      <c r="U16" s="21">
        <v>0.177253270169865</v>
      </c>
      <c r="V16" s="21">
        <v>0.56493979397367</v>
      </c>
      <c r="W16" s="21"/>
      <c r="X16" s="21">
        <v>0.42824078749801298</v>
      </c>
      <c r="Y16" s="21">
        <v>0.44281586033449</v>
      </c>
    </row>
    <row r="17" spans="2:25" x14ac:dyDescent="0.35">
      <c r="B17" s="18" t="s">
        <v>92</v>
      </c>
      <c r="C17" s="22">
        <v>-0.18113182899160399</v>
      </c>
      <c r="D17" s="22">
        <v>-0.12717398591970899</v>
      </c>
      <c r="E17" s="22">
        <v>-0.23207147330202299</v>
      </c>
      <c r="F17" s="22"/>
      <c r="G17" s="22">
        <v>-4.3114152057125703E-2</v>
      </c>
      <c r="H17" s="22">
        <v>-0.11070999435893</v>
      </c>
      <c r="I17" s="22">
        <v>-4.8788191060480497E-2</v>
      </c>
      <c r="J17" s="22">
        <v>-0.17859607295120999</v>
      </c>
      <c r="K17" s="22">
        <v>-0.28033250282250799</v>
      </c>
      <c r="L17" s="22">
        <v>-0.29551250694419801</v>
      </c>
      <c r="M17" s="22"/>
      <c r="N17" s="22">
        <v>-0.10995602926922</v>
      </c>
      <c r="O17" s="22">
        <v>-0.228974446682813</v>
      </c>
      <c r="P17" s="22">
        <v>-0.109103840667193</v>
      </c>
      <c r="Q17" s="22">
        <v>-0.48344394252577999</v>
      </c>
      <c r="R17" s="22">
        <v>-1.5633491901612E-2</v>
      </c>
      <c r="S17" s="22">
        <v>-0.25908399262923898</v>
      </c>
      <c r="T17" s="22">
        <v>-0.39034149068723201</v>
      </c>
      <c r="U17" s="22">
        <v>0.23365271267722201</v>
      </c>
      <c r="V17" s="22">
        <v>-0.35411835043480699</v>
      </c>
      <c r="W17" s="22"/>
      <c r="X17" s="22">
        <v>-0.126356081978445</v>
      </c>
      <c r="Y17" s="22">
        <v>-0.21144289381988701</v>
      </c>
    </row>
    <row r="18" spans="2:25" x14ac:dyDescent="0.35">
      <c r="B18" s="16"/>
    </row>
    <row r="19" spans="2:25" x14ac:dyDescent="0.35">
      <c r="B19" t="s">
        <v>51</v>
      </c>
    </row>
    <row r="20" spans="2:25" x14ac:dyDescent="0.35">
      <c r="B20" t="s">
        <v>52</v>
      </c>
    </row>
    <row r="22" spans="2:25" x14ac:dyDescent="0.35">
      <c r="B22" s="8" t="str">
        <f>HYPERLINK("#'Contents'!A1", "Return to Contents")</f>
        <v>Return to Contents</v>
      </c>
    </row>
  </sheetData>
  <mergeCells count="5">
    <mergeCell ref="D5:E5"/>
    <mergeCell ref="G5:L5"/>
    <mergeCell ref="N5:V5"/>
    <mergeCell ref="X5:Y5"/>
    <mergeCell ref="D2:W2"/>
  </mergeCells>
  <pageMargins left="0.7" right="0.7" top="0.75" bottom="0.75" header="0.3" footer="0.3"/>
  <pageSetup paperSize="9" orientation="portrait" horizontalDpi="300" verticalDpi="300"/>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B2:Y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s>
  <sheetData>
    <row r="2" spans="2:25" ht="40" customHeight="1" x14ac:dyDescent="0.35">
      <c r="D2" s="30" t="s">
        <v>194</v>
      </c>
      <c r="E2" s="26"/>
      <c r="F2" s="26"/>
      <c r="G2" s="26"/>
      <c r="H2" s="26"/>
      <c r="I2" s="26"/>
      <c r="J2" s="26"/>
      <c r="K2" s="26"/>
      <c r="L2" s="26"/>
      <c r="M2" s="26"/>
      <c r="N2" s="26"/>
      <c r="O2" s="26"/>
      <c r="P2" s="26"/>
      <c r="Q2" s="26"/>
      <c r="R2" s="26"/>
      <c r="S2" s="26"/>
      <c r="T2" s="26"/>
      <c r="U2" s="26"/>
      <c r="V2" s="26"/>
      <c r="W2" s="26"/>
    </row>
    <row r="5" spans="2:25" ht="30" customHeight="1" x14ac:dyDescent="0.35">
      <c r="B5" s="15"/>
      <c r="C5" s="15"/>
      <c r="D5" s="29" t="s">
        <v>38</v>
      </c>
      <c r="E5" s="29"/>
      <c r="F5" s="15"/>
      <c r="G5" s="29" t="s">
        <v>39</v>
      </c>
      <c r="H5" s="29"/>
      <c r="I5" s="29"/>
      <c r="J5" s="29"/>
      <c r="K5" s="29"/>
      <c r="L5" s="29"/>
      <c r="M5" s="15"/>
      <c r="N5" s="29" t="s">
        <v>40</v>
      </c>
      <c r="O5" s="29"/>
      <c r="P5" s="29"/>
      <c r="Q5" s="29"/>
      <c r="R5" s="29"/>
      <c r="S5" s="29"/>
      <c r="T5" s="29"/>
      <c r="U5" s="29"/>
      <c r="V5" s="29"/>
      <c r="W5" s="15"/>
      <c r="X5" s="29" t="s">
        <v>41</v>
      </c>
      <c r="Y5" s="29"/>
    </row>
    <row r="6" spans="2:25" ht="29"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row>
    <row r="7" spans="2:25" ht="30" customHeight="1" x14ac:dyDescent="0.35">
      <c r="B7" s="10" t="s">
        <v>19</v>
      </c>
      <c r="C7" s="10">
        <v>6838</v>
      </c>
      <c r="D7" s="10">
        <v>3283</v>
      </c>
      <c r="E7" s="10">
        <v>3541</v>
      </c>
      <c r="F7" s="10"/>
      <c r="G7" s="10">
        <v>635</v>
      </c>
      <c r="H7" s="10">
        <v>1075</v>
      </c>
      <c r="I7" s="10">
        <v>1093</v>
      </c>
      <c r="J7" s="10">
        <v>1228</v>
      </c>
      <c r="K7" s="10">
        <v>1156</v>
      </c>
      <c r="L7" s="10">
        <v>1651</v>
      </c>
      <c r="M7" s="10"/>
      <c r="N7" s="10">
        <v>208</v>
      </c>
      <c r="O7" s="10">
        <v>200</v>
      </c>
      <c r="P7" s="10">
        <v>1002</v>
      </c>
      <c r="Q7" s="10">
        <v>1000</v>
      </c>
      <c r="R7" s="10">
        <v>1004</v>
      </c>
      <c r="S7" s="10">
        <v>1006</v>
      </c>
      <c r="T7" s="10">
        <v>1006</v>
      </c>
      <c r="U7" s="10">
        <v>1007</v>
      </c>
      <c r="V7" s="10">
        <v>405</v>
      </c>
      <c r="W7" s="10"/>
      <c r="X7" s="10">
        <v>2650</v>
      </c>
      <c r="Y7" s="10">
        <v>4188</v>
      </c>
    </row>
    <row r="8" spans="2:25" ht="30" customHeight="1" x14ac:dyDescent="0.35">
      <c r="B8" s="11" t="s">
        <v>20</v>
      </c>
      <c r="C8" s="11">
        <v>6838</v>
      </c>
      <c r="D8" s="11">
        <v>3309</v>
      </c>
      <c r="E8" s="11">
        <v>3515</v>
      </c>
      <c r="F8" s="11"/>
      <c r="G8" s="11">
        <v>645</v>
      </c>
      <c r="H8" s="11">
        <v>1026</v>
      </c>
      <c r="I8" s="11">
        <v>1111</v>
      </c>
      <c r="J8" s="11">
        <v>1184</v>
      </c>
      <c r="K8" s="11">
        <v>1140</v>
      </c>
      <c r="L8" s="11">
        <v>1732</v>
      </c>
      <c r="M8" s="11"/>
      <c r="N8" s="11">
        <v>208</v>
      </c>
      <c r="O8" s="11">
        <v>200</v>
      </c>
      <c r="P8" s="11">
        <v>1002</v>
      </c>
      <c r="Q8" s="11">
        <v>1000</v>
      </c>
      <c r="R8" s="11">
        <v>1004</v>
      </c>
      <c r="S8" s="11">
        <v>1006</v>
      </c>
      <c r="T8" s="11">
        <v>1006</v>
      </c>
      <c r="U8" s="11">
        <v>1007</v>
      </c>
      <c r="V8" s="11">
        <v>405</v>
      </c>
      <c r="W8" s="11"/>
      <c r="X8" s="11">
        <v>2436</v>
      </c>
      <c r="Y8" s="11">
        <v>4402</v>
      </c>
    </row>
    <row r="9" spans="2:25" x14ac:dyDescent="0.35">
      <c r="B9" s="18" t="s">
        <v>85</v>
      </c>
      <c r="C9" s="17">
        <v>5.1816101491486501E-2</v>
      </c>
      <c r="D9" s="17">
        <v>6.2871224832411907E-2</v>
      </c>
      <c r="E9" s="17">
        <v>4.1368770755014501E-2</v>
      </c>
      <c r="F9" s="17"/>
      <c r="G9" s="17">
        <v>9.4342307102566594E-2</v>
      </c>
      <c r="H9" s="17">
        <v>9.8081868581188003E-2</v>
      </c>
      <c r="I9" s="17">
        <v>6.9750199973415902E-2</v>
      </c>
      <c r="J9" s="17">
        <v>5.3093937438247703E-2</v>
      </c>
      <c r="K9" s="17">
        <v>2.2577157482784001E-2</v>
      </c>
      <c r="L9" s="17">
        <v>1.5470029650738499E-2</v>
      </c>
      <c r="M9" s="17"/>
      <c r="N9" s="17">
        <v>6.03986386942333E-2</v>
      </c>
      <c r="O9" s="17">
        <v>3.0216153050409301E-2</v>
      </c>
      <c r="P9" s="17">
        <v>5.4062212471483899E-2</v>
      </c>
      <c r="Q9" s="17">
        <v>3.8359474457118299E-2</v>
      </c>
      <c r="R9" s="17">
        <v>5.9599307056437602E-2</v>
      </c>
      <c r="S9" s="17">
        <v>4.5351902257960999E-2</v>
      </c>
      <c r="T9" s="17">
        <v>3.5330038792604102E-2</v>
      </c>
      <c r="U9" s="17">
        <v>8.2900758858609203E-2</v>
      </c>
      <c r="V9" s="17">
        <v>4.6167264282977002E-2</v>
      </c>
      <c r="W9" s="17"/>
      <c r="X9" s="17">
        <v>7.7587289812754798E-2</v>
      </c>
      <c r="Y9" s="17">
        <v>3.7555188541815901E-2</v>
      </c>
    </row>
    <row r="10" spans="2:25" x14ac:dyDescent="0.35">
      <c r="B10" s="18" t="s">
        <v>86</v>
      </c>
      <c r="C10" s="17">
        <v>0.11091575157026901</v>
      </c>
      <c r="D10" s="17">
        <v>0.120710529205175</v>
      </c>
      <c r="E10" s="17">
        <v>0.100977591401281</v>
      </c>
      <c r="F10" s="17"/>
      <c r="G10" s="17">
        <v>0.156033214611558</v>
      </c>
      <c r="H10" s="17">
        <v>0.16352562434315801</v>
      </c>
      <c r="I10" s="17">
        <v>0.15867158541874599</v>
      </c>
      <c r="J10" s="17">
        <v>9.4177984905176204E-2</v>
      </c>
      <c r="K10" s="17">
        <v>8.4301895798846699E-2</v>
      </c>
      <c r="L10" s="17">
        <v>6.1303563156481999E-2</v>
      </c>
      <c r="M10" s="17"/>
      <c r="N10" s="17">
        <v>9.7268711993853396E-2</v>
      </c>
      <c r="O10" s="17">
        <v>8.7660072410464807E-2</v>
      </c>
      <c r="P10" s="17">
        <v>9.9582212224614705E-2</v>
      </c>
      <c r="Q10" s="17">
        <v>7.3555503715108397E-2</v>
      </c>
      <c r="R10" s="17">
        <v>0.20640358867466499</v>
      </c>
      <c r="S10" s="17">
        <v>8.2490063237577405E-2</v>
      </c>
      <c r="T10" s="17">
        <v>6.5317721694075001E-2</v>
      </c>
      <c r="U10" s="17">
        <v>0.17318530566130599</v>
      </c>
      <c r="V10" s="17">
        <v>4.2023913148079101E-2</v>
      </c>
      <c r="W10" s="17"/>
      <c r="X10" s="17">
        <v>0.12523947400601301</v>
      </c>
      <c r="Y10" s="17">
        <v>0.102989483048037</v>
      </c>
    </row>
    <row r="11" spans="2:25" ht="29" x14ac:dyDescent="0.35">
      <c r="B11" s="18" t="s">
        <v>181</v>
      </c>
      <c r="C11" s="17">
        <v>0.19796602479737699</v>
      </c>
      <c r="D11" s="17">
        <v>0.21789380411547399</v>
      </c>
      <c r="E11" s="17">
        <v>0.17887001522557999</v>
      </c>
      <c r="F11" s="17"/>
      <c r="G11" s="17">
        <v>0.25551493902309302</v>
      </c>
      <c r="H11" s="17">
        <v>0.21442561356554499</v>
      </c>
      <c r="I11" s="17">
        <v>0.22008426635082001</v>
      </c>
      <c r="J11" s="17">
        <v>0.22000922410461601</v>
      </c>
      <c r="K11" s="17">
        <v>0.16055391116450399</v>
      </c>
      <c r="L11" s="17">
        <v>0.162179930937665</v>
      </c>
      <c r="M11" s="17"/>
      <c r="N11" s="17">
        <v>0.16281702974918699</v>
      </c>
      <c r="O11" s="17">
        <v>0.17257374099234299</v>
      </c>
      <c r="P11" s="17">
        <v>0.20936327786988901</v>
      </c>
      <c r="Q11" s="17">
        <v>0.149805093699722</v>
      </c>
      <c r="R11" s="17">
        <v>0.28985268786171797</v>
      </c>
      <c r="S11" s="17">
        <v>0.15304801476119001</v>
      </c>
      <c r="T11" s="17">
        <v>0.14812036540221299</v>
      </c>
      <c r="U11" s="17">
        <v>0.283544562386215</v>
      </c>
      <c r="V11" s="17">
        <v>0.114091421413203</v>
      </c>
      <c r="W11" s="17"/>
      <c r="X11" s="17">
        <v>0.20453043184550701</v>
      </c>
      <c r="Y11" s="17">
        <v>0.19433350167455599</v>
      </c>
    </row>
    <row r="12" spans="2:25" x14ac:dyDescent="0.35">
      <c r="B12" s="18" t="s">
        <v>88</v>
      </c>
      <c r="C12" s="17">
        <v>0.153060317920476</v>
      </c>
      <c r="D12" s="17">
        <v>0.164795340205103</v>
      </c>
      <c r="E12" s="17">
        <v>0.14204454272209199</v>
      </c>
      <c r="F12" s="17"/>
      <c r="G12" s="17">
        <v>0.188991983340347</v>
      </c>
      <c r="H12" s="17">
        <v>0.163555319936764</v>
      </c>
      <c r="I12" s="17">
        <v>0.156476673919063</v>
      </c>
      <c r="J12" s="17">
        <v>0.16049774397612099</v>
      </c>
      <c r="K12" s="17">
        <v>0.15158560503914201</v>
      </c>
      <c r="L12" s="17">
        <v>0.127172478622985</v>
      </c>
      <c r="M12" s="17"/>
      <c r="N12" s="17">
        <v>0.177715147060721</v>
      </c>
      <c r="O12" s="17">
        <v>0.23187384516384299</v>
      </c>
      <c r="P12" s="17">
        <v>0.169578740515375</v>
      </c>
      <c r="Q12" s="17">
        <v>0.20466000235641399</v>
      </c>
      <c r="R12" s="17">
        <v>0.15107079627681</v>
      </c>
      <c r="S12" s="17">
        <v>0.125082189364982</v>
      </c>
      <c r="T12" s="17">
        <v>0.149501245709669</v>
      </c>
      <c r="U12" s="17">
        <v>9.4259841031335806E-2</v>
      </c>
      <c r="V12" s="17">
        <v>0.16267496024797101</v>
      </c>
      <c r="W12" s="17"/>
      <c r="X12" s="17">
        <v>0.14906810710106999</v>
      </c>
      <c r="Y12" s="17">
        <v>0.15526947375227401</v>
      </c>
    </row>
    <row r="13" spans="2:25" x14ac:dyDescent="0.35">
      <c r="B13" s="18" t="s">
        <v>89</v>
      </c>
      <c r="C13" s="17">
        <v>0.29754315947737697</v>
      </c>
      <c r="D13" s="17">
        <v>0.27083734382844499</v>
      </c>
      <c r="E13" s="17">
        <v>0.32328304725988899</v>
      </c>
      <c r="F13" s="17"/>
      <c r="G13" s="17">
        <v>0.19884407111324001</v>
      </c>
      <c r="H13" s="17">
        <v>0.25901968966025501</v>
      </c>
      <c r="I13" s="17">
        <v>0.23784336874974801</v>
      </c>
      <c r="J13" s="17">
        <v>0.29160751937566798</v>
      </c>
      <c r="K13" s="17">
        <v>0.35578802864160303</v>
      </c>
      <c r="L13" s="17">
        <v>0.361091820853361</v>
      </c>
      <c r="M13" s="17"/>
      <c r="N13" s="17">
        <v>0.27805156318223501</v>
      </c>
      <c r="O13" s="17">
        <v>0.367743652353685</v>
      </c>
      <c r="P13" s="17">
        <v>0.2911953026347</v>
      </c>
      <c r="Q13" s="17">
        <v>0.43263503329534497</v>
      </c>
      <c r="R13" s="17">
        <v>0.14755915726365501</v>
      </c>
      <c r="S13" s="17">
        <v>0.35388239008999001</v>
      </c>
      <c r="T13" s="17">
        <v>0.36797354009724098</v>
      </c>
      <c r="U13" s="17">
        <v>9.1751171334822607E-2</v>
      </c>
      <c r="V13" s="17">
        <v>0.52363963743979203</v>
      </c>
      <c r="W13" s="17"/>
      <c r="X13" s="17">
        <v>0.30060607062796901</v>
      </c>
      <c r="Y13" s="17">
        <v>0.29584824697483098</v>
      </c>
    </row>
    <row r="14" spans="2:25" x14ac:dyDescent="0.35">
      <c r="B14" s="18" t="s">
        <v>69</v>
      </c>
      <c r="C14" s="17">
        <v>0.18869864474301401</v>
      </c>
      <c r="D14" s="17">
        <v>0.16289175781339099</v>
      </c>
      <c r="E14" s="17">
        <v>0.21345603263614399</v>
      </c>
      <c r="F14" s="17"/>
      <c r="G14" s="17">
        <v>0.106273484809196</v>
      </c>
      <c r="H14" s="17">
        <v>0.10139188391308999</v>
      </c>
      <c r="I14" s="17">
        <v>0.15717390558820701</v>
      </c>
      <c r="J14" s="17">
        <v>0.18061359020017101</v>
      </c>
      <c r="K14" s="17">
        <v>0.22519340187311901</v>
      </c>
      <c r="L14" s="17">
        <v>0.27278217677876898</v>
      </c>
      <c r="M14" s="17"/>
      <c r="N14" s="17">
        <v>0.22374890931977101</v>
      </c>
      <c r="O14" s="17">
        <v>0.109932536029254</v>
      </c>
      <c r="P14" s="17">
        <v>0.176218254283937</v>
      </c>
      <c r="Q14" s="17">
        <v>0.100984892476292</v>
      </c>
      <c r="R14" s="17">
        <v>0.14551446286671399</v>
      </c>
      <c r="S14" s="17">
        <v>0.24014544028829901</v>
      </c>
      <c r="T14" s="17">
        <v>0.233757088304198</v>
      </c>
      <c r="U14" s="17">
        <v>0.27435836072771103</v>
      </c>
      <c r="V14" s="17">
        <v>0.111402803467978</v>
      </c>
      <c r="W14" s="17"/>
      <c r="X14" s="17">
        <v>0.14296862660668699</v>
      </c>
      <c r="Y14" s="17">
        <v>0.21400410600848499</v>
      </c>
    </row>
    <row r="15" spans="2:25" x14ac:dyDescent="0.35">
      <c r="B15" s="18" t="s">
        <v>90</v>
      </c>
      <c r="C15" s="21">
        <v>0.162731853061756</v>
      </c>
      <c r="D15" s="21">
        <v>0.183581754037587</v>
      </c>
      <c r="E15" s="21">
        <v>0.14234636215629501</v>
      </c>
      <c r="F15" s="21"/>
      <c r="G15" s="21">
        <v>0.25037552171412403</v>
      </c>
      <c r="H15" s="21">
        <v>0.26160749292434499</v>
      </c>
      <c r="I15" s="21">
        <v>0.22842178539216201</v>
      </c>
      <c r="J15" s="21">
        <v>0.14727192234342401</v>
      </c>
      <c r="K15" s="21">
        <v>0.106879053281631</v>
      </c>
      <c r="L15" s="21">
        <v>7.6773592807220403E-2</v>
      </c>
      <c r="M15" s="21"/>
      <c r="N15" s="21">
        <v>0.15766735068808699</v>
      </c>
      <c r="O15" s="21">
        <v>0.11787622546087401</v>
      </c>
      <c r="P15" s="21">
        <v>0.15364442469609901</v>
      </c>
      <c r="Q15" s="21">
        <v>0.11191497817222699</v>
      </c>
      <c r="R15" s="21">
        <v>0.26600289573110297</v>
      </c>
      <c r="S15" s="21">
        <v>0.127841965495538</v>
      </c>
      <c r="T15" s="21">
        <v>0.10064776048667901</v>
      </c>
      <c r="U15" s="21">
        <v>0.256086064519916</v>
      </c>
      <c r="V15" s="21">
        <v>8.8191177431056103E-2</v>
      </c>
      <c r="W15" s="21"/>
      <c r="X15" s="21">
        <v>0.20282676381876799</v>
      </c>
      <c r="Y15" s="21">
        <v>0.14054467158985301</v>
      </c>
    </row>
    <row r="16" spans="2:25" x14ac:dyDescent="0.35">
      <c r="B16" s="18" t="s">
        <v>91</v>
      </c>
      <c r="C16" s="21">
        <v>0.450603477397853</v>
      </c>
      <c r="D16" s="21">
        <v>0.43563268403354799</v>
      </c>
      <c r="E16" s="21">
        <v>0.46532758998198098</v>
      </c>
      <c r="F16" s="21"/>
      <c r="G16" s="21">
        <v>0.38783605445358699</v>
      </c>
      <c r="H16" s="21">
        <v>0.42257500959701899</v>
      </c>
      <c r="I16" s="21">
        <v>0.39432004266881099</v>
      </c>
      <c r="J16" s="21">
        <v>0.45210526335178902</v>
      </c>
      <c r="K16" s="21">
        <v>0.50737363368074595</v>
      </c>
      <c r="L16" s="21">
        <v>0.48826429947634598</v>
      </c>
      <c r="M16" s="21"/>
      <c r="N16" s="21">
        <v>0.45576671024295601</v>
      </c>
      <c r="O16" s="21">
        <v>0.59961749751752902</v>
      </c>
      <c r="P16" s="21">
        <v>0.46077404315007497</v>
      </c>
      <c r="Q16" s="21">
        <v>0.63729503565175905</v>
      </c>
      <c r="R16" s="21">
        <v>0.29862995354046501</v>
      </c>
      <c r="S16" s="21">
        <v>0.47896457945497201</v>
      </c>
      <c r="T16" s="21">
        <v>0.51747478580690998</v>
      </c>
      <c r="U16" s="21">
        <v>0.186011012366158</v>
      </c>
      <c r="V16" s="21">
        <v>0.68631459768776404</v>
      </c>
      <c r="W16" s="21"/>
      <c r="X16" s="21">
        <v>0.449674177729039</v>
      </c>
      <c r="Y16" s="21">
        <v>0.45111772072710499</v>
      </c>
    </row>
    <row r="17" spans="2:25" x14ac:dyDescent="0.35">
      <c r="B17" s="18" t="s">
        <v>92</v>
      </c>
      <c r="C17" s="22">
        <v>-0.28787162433609798</v>
      </c>
      <c r="D17" s="22">
        <v>-0.25205092999596101</v>
      </c>
      <c r="E17" s="22">
        <v>-0.322981227825685</v>
      </c>
      <c r="F17" s="22"/>
      <c r="G17" s="22">
        <v>-0.13746053273946199</v>
      </c>
      <c r="H17" s="22">
        <v>-0.16096751667267301</v>
      </c>
      <c r="I17" s="22">
        <v>-0.165898257276649</v>
      </c>
      <c r="J17" s="22">
        <v>-0.30483334100836501</v>
      </c>
      <c r="K17" s="22">
        <v>-0.40049458039911501</v>
      </c>
      <c r="L17" s="22">
        <v>-0.41149070666912602</v>
      </c>
      <c r="M17" s="22"/>
      <c r="N17" s="22">
        <v>-0.29809935955486899</v>
      </c>
      <c r="O17" s="22">
        <v>-0.48174127205665501</v>
      </c>
      <c r="P17" s="22">
        <v>-0.30712961845397602</v>
      </c>
      <c r="Q17" s="22">
        <v>-0.52538005747953298</v>
      </c>
      <c r="R17" s="22">
        <v>-3.2627057809361898E-2</v>
      </c>
      <c r="S17" s="22">
        <v>-0.351122613959434</v>
      </c>
      <c r="T17" s="22">
        <v>-0.41682702532023103</v>
      </c>
      <c r="U17" s="22">
        <v>7.0075052153757103E-2</v>
      </c>
      <c r="V17" s="22">
        <v>-0.59812342025670795</v>
      </c>
      <c r="W17" s="22"/>
      <c r="X17" s="22">
        <v>-0.24684741391027101</v>
      </c>
      <c r="Y17" s="22">
        <v>-0.31057304913725298</v>
      </c>
    </row>
    <row r="18" spans="2:25" x14ac:dyDescent="0.35">
      <c r="B18" s="16"/>
    </row>
    <row r="19" spans="2:25" x14ac:dyDescent="0.35">
      <c r="B19" t="s">
        <v>51</v>
      </c>
    </row>
    <row r="20" spans="2:25" x14ac:dyDescent="0.35">
      <c r="B20" t="s">
        <v>52</v>
      </c>
    </row>
    <row r="22" spans="2:25" x14ac:dyDescent="0.35">
      <c r="B22" s="8" t="str">
        <f>HYPERLINK("#'Contents'!A1", "Return to Contents")</f>
        <v>Return to Contents</v>
      </c>
    </row>
  </sheetData>
  <mergeCells count="5">
    <mergeCell ref="D5:E5"/>
    <mergeCell ref="G5:L5"/>
    <mergeCell ref="N5:V5"/>
    <mergeCell ref="X5:Y5"/>
    <mergeCell ref="D2:W2"/>
  </mergeCells>
  <pageMargins left="0.7" right="0.7" top="0.75" bottom="0.75" header="0.3" footer="0.3"/>
  <pageSetup paperSize="9" orientation="portrait" horizontalDpi="300" verticalDpi="300"/>
  <drawing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B2:Y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s>
  <sheetData>
    <row r="2" spans="2:25" ht="40" customHeight="1" x14ac:dyDescent="0.35">
      <c r="D2" s="30" t="s">
        <v>195</v>
      </c>
      <c r="E2" s="26"/>
      <c r="F2" s="26"/>
      <c r="G2" s="26"/>
      <c r="H2" s="26"/>
      <c r="I2" s="26"/>
      <c r="J2" s="26"/>
      <c r="K2" s="26"/>
      <c r="L2" s="26"/>
      <c r="M2" s="26"/>
      <c r="N2" s="26"/>
      <c r="O2" s="26"/>
      <c r="P2" s="26"/>
      <c r="Q2" s="26"/>
      <c r="R2" s="26"/>
      <c r="S2" s="26"/>
      <c r="T2" s="26"/>
      <c r="U2" s="26"/>
      <c r="V2" s="26"/>
      <c r="W2" s="26"/>
    </row>
    <row r="5" spans="2:25" ht="30" customHeight="1" x14ac:dyDescent="0.35">
      <c r="B5" s="15"/>
      <c r="C5" s="15"/>
      <c r="D5" s="29" t="s">
        <v>38</v>
      </c>
      <c r="E5" s="29"/>
      <c r="F5" s="15"/>
      <c r="G5" s="29" t="s">
        <v>39</v>
      </c>
      <c r="H5" s="29"/>
      <c r="I5" s="29"/>
      <c r="J5" s="29"/>
      <c r="K5" s="29"/>
      <c r="L5" s="29"/>
      <c r="M5" s="15"/>
      <c r="N5" s="29" t="s">
        <v>40</v>
      </c>
      <c r="O5" s="29"/>
      <c r="P5" s="29"/>
      <c r="Q5" s="29"/>
      <c r="R5" s="29"/>
      <c r="S5" s="29"/>
      <c r="T5" s="29"/>
      <c r="U5" s="29"/>
      <c r="V5" s="29"/>
      <c r="W5" s="15"/>
      <c r="X5" s="29" t="s">
        <v>41</v>
      </c>
      <c r="Y5" s="29"/>
    </row>
    <row r="6" spans="2:25" ht="29"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row>
    <row r="7" spans="2:25" ht="30" customHeight="1" x14ac:dyDescent="0.35">
      <c r="B7" s="10" t="s">
        <v>19</v>
      </c>
      <c r="C7" s="10">
        <v>6838</v>
      </c>
      <c r="D7" s="10">
        <v>3283</v>
      </c>
      <c r="E7" s="10">
        <v>3541</v>
      </c>
      <c r="F7" s="10"/>
      <c r="G7" s="10">
        <v>635</v>
      </c>
      <c r="H7" s="10">
        <v>1075</v>
      </c>
      <c r="I7" s="10">
        <v>1093</v>
      </c>
      <c r="J7" s="10">
        <v>1228</v>
      </c>
      <c r="K7" s="10">
        <v>1156</v>
      </c>
      <c r="L7" s="10">
        <v>1651</v>
      </c>
      <c r="M7" s="10"/>
      <c r="N7" s="10">
        <v>208</v>
      </c>
      <c r="O7" s="10">
        <v>200</v>
      </c>
      <c r="P7" s="10">
        <v>1002</v>
      </c>
      <c r="Q7" s="10">
        <v>1000</v>
      </c>
      <c r="R7" s="10">
        <v>1004</v>
      </c>
      <c r="S7" s="10">
        <v>1006</v>
      </c>
      <c r="T7" s="10">
        <v>1006</v>
      </c>
      <c r="U7" s="10">
        <v>1007</v>
      </c>
      <c r="V7" s="10">
        <v>405</v>
      </c>
      <c r="W7" s="10"/>
      <c r="X7" s="10">
        <v>2650</v>
      </c>
      <c r="Y7" s="10">
        <v>4188</v>
      </c>
    </row>
    <row r="8" spans="2:25" ht="30" customHeight="1" x14ac:dyDescent="0.35">
      <c r="B8" s="11" t="s">
        <v>20</v>
      </c>
      <c r="C8" s="11">
        <v>6838</v>
      </c>
      <c r="D8" s="11">
        <v>3309</v>
      </c>
      <c r="E8" s="11">
        <v>3515</v>
      </c>
      <c r="F8" s="11"/>
      <c r="G8" s="11">
        <v>645</v>
      </c>
      <c r="H8" s="11">
        <v>1026</v>
      </c>
      <c r="I8" s="11">
        <v>1111</v>
      </c>
      <c r="J8" s="11">
        <v>1184</v>
      </c>
      <c r="K8" s="11">
        <v>1140</v>
      </c>
      <c r="L8" s="11">
        <v>1732</v>
      </c>
      <c r="M8" s="11"/>
      <c r="N8" s="11">
        <v>208</v>
      </c>
      <c r="O8" s="11">
        <v>200</v>
      </c>
      <c r="P8" s="11">
        <v>1002</v>
      </c>
      <c r="Q8" s="11">
        <v>1000</v>
      </c>
      <c r="R8" s="11">
        <v>1004</v>
      </c>
      <c r="S8" s="11">
        <v>1006</v>
      </c>
      <c r="T8" s="11">
        <v>1006</v>
      </c>
      <c r="U8" s="11">
        <v>1007</v>
      </c>
      <c r="V8" s="11">
        <v>405</v>
      </c>
      <c r="W8" s="11"/>
      <c r="X8" s="11">
        <v>2436</v>
      </c>
      <c r="Y8" s="11">
        <v>4402</v>
      </c>
    </row>
    <row r="9" spans="2:25" x14ac:dyDescent="0.35">
      <c r="B9" s="18" t="s">
        <v>85</v>
      </c>
      <c r="C9" s="17">
        <v>0.54757353065137204</v>
      </c>
      <c r="D9" s="17">
        <v>0.53055685993493895</v>
      </c>
      <c r="E9" s="17">
        <v>0.56298399466381199</v>
      </c>
      <c r="F9" s="17"/>
      <c r="G9" s="17">
        <v>0.51012110756154905</v>
      </c>
      <c r="H9" s="17">
        <v>0.56410035784513402</v>
      </c>
      <c r="I9" s="17">
        <v>0.56962742685961298</v>
      </c>
      <c r="J9" s="17">
        <v>0.567610772135141</v>
      </c>
      <c r="K9" s="17">
        <v>0.56940194489830598</v>
      </c>
      <c r="L9" s="17">
        <v>0.50952084808122899</v>
      </c>
      <c r="M9" s="17"/>
      <c r="N9" s="17">
        <v>0.69833424571136404</v>
      </c>
      <c r="O9" s="17">
        <v>0.73766729414922305</v>
      </c>
      <c r="P9" s="17">
        <v>0.54859282412558896</v>
      </c>
      <c r="Q9" s="17">
        <v>0.58966100098585095</v>
      </c>
      <c r="R9" s="17">
        <v>0.42135236345220001</v>
      </c>
      <c r="S9" s="17">
        <v>0.59527409073470405</v>
      </c>
      <c r="T9" s="17">
        <v>0.54550032476292298</v>
      </c>
      <c r="U9" s="17">
        <v>0.49688471972255899</v>
      </c>
      <c r="V9" s="17">
        <v>0.59543225244282605</v>
      </c>
      <c r="W9" s="17"/>
      <c r="X9" s="17">
        <v>0.61947783663147904</v>
      </c>
      <c r="Y9" s="17">
        <v>0.50778409465386598</v>
      </c>
    </row>
    <row r="10" spans="2:25" x14ac:dyDescent="0.35">
      <c r="B10" s="18" t="s">
        <v>86</v>
      </c>
      <c r="C10" s="17">
        <v>0.29647451077100501</v>
      </c>
      <c r="D10" s="17">
        <v>0.30465446488304598</v>
      </c>
      <c r="E10" s="17">
        <v>0.28941159746714701</v>
      </c>
      <c r="F10" s="17"/>
      <c r="G10" s="17">
        <v>0.33385418004081102</v>
      </c>
      <c r="H10" s="17">
        <v>0.29356522474191998</v>
      </c>
      <c r="I10" s="17">
        <v>0.309204290740758</v>
      </c>
      <c r="J10" s="17">
        <v>0.28197805304972001</v>
      </c>
      <c r="K10" s="17">
        <v>0.278639520400562</v>
      </c>
      <c r="L10" s="17">
        <v>0.29776596733583499</v>
      </c>
      <c r="M10" s="17"/>
      <c r="N10" s="17">
        <v>0.21618578865072799</v>
      </c>
      <c r="O10" s="17">
        <v>0.216961012395192</v>
      </c>
      <c r="P10" s="17">
        <v>0.28068150750780901</v>
      </c>
      <c r="Q10" s="17">
        <v>0.236526597876553</v>
      </c>
      <c r="R10" s="17">
        <v>0.40657470889596198</v>
      </c>
      <c r="S10" s="17">
        <v>0.25731944657530897</v>
      </c>
      <c r="T10" s="17">
        <v>0.29190856582243502</v>
      </c>
      <c r="U10" s="17">
        <v>0.33676295793764</v>
      </c>
      <c r="V10" s="17">
        <v>0.29955482194440303</v>
      </c>
      <c r="W10" s="17"/>
      <c r="X10" s="17">
        <v>0.26398995422985799</v>
      </c>
      <c r="Y10" s="17">
        <v>0.31445037696960099</v>
      </c>
    </row>
    <row r="11" spans="2:25" ht="29" x14ac:dyDescent="0.35">
      <c r="B11" s="18" t="s">
        <v>181</v>
      </c>
      <c r="C11" s="17">
        <v>9.3133180837162696E-2</v>
      </c>
      <c r="D11" s="17">
        <v>0.101792187545121</v>
      </c>
      <c r="E11" s="17">
        <v>8.5015974237376904E-2</v>
      </c>
      <c r="F11" s="17"/>
      <c r="G11" s="17">
        <v>0.10147061041476001</v>
      </c>
      <c r="H11" s="17">
        <v>0.10106200917545299</v>
      </c>
      <c r="I11" s="17">
        <v>8.2568859341376796E-2</v>
      </c>
      <c r="J11" s="17">
        <v>8.9782551094166094E-2</v>
      </c>
      <c r="K11" s="17">
        <v>7.5160622124596899E-2</v>
      </c>
      <c r="L11" s="17">
        <v>0.10623273521986699</v>
      </c>
      <c r="M11" s="17"/>
      <c r="N11" s="17">
        <v>4.67766881920356E-2</v>
      </c>
      <c r="O11" s="17">
        <v>2.9604910543114898E-2</v>
      </c>
      <c r="P11" s="17">
        <v>7.7367930891685199E-2</v>
      </c>
      <c r="Q11" s="17">
        <v>9.2767175330738402E-2</v>
      </c>
      <c r="R11" s="17">
        <v>0.12311757271408</v>
      </c>
      <c r="S11" s="17">
        <v>7.7671814374500797E-2</v>
      </c>
      <c r="T11" s="17">
        <v>0.11557219110931399</v>
      </c>
      <c r="U11" s="17">
        <v>0.105810501727437</v>
      </c>
      <c r="V11" s="17">
        <v>6.5036117201388993E-2</v>
      </c>
      <c r="W11" s="17"/>
      <c r="X11" s="17">
        <v>7.5769488699084994E-2</v>
      </c>
      <c r="Y11" s="17">
        <v>0.102741666832418</v>
      </c>
    </row>
    <row r="12" spans="2:25" x14ac:dyDescent="0.35">
      <c r="B12" s="18" t="s">
        <v>88</v>
      </c>
      <c r="C12" s="17">
        <v>2.3482041836929299E-2</v>
      </c>
      <c r="D12" s="17">
        <v>2.7072228004423899E-2</v>
      </c>
      <c r="E12" s="17">
        <v>2.01961997404549E-2</v>
      </c>
      <c r="F12" s="17"/>
      <c r="G12" s="17">
        <v>3.4206254721668702E-2</v>
      </c>
      <c r="H12" s="17">
        <v>2.3127645080033E-2</v>
      </c>
      <c r="I12" s="17">
        <v>1.2584089092702699E-2</v>
      </c>
      <c r="J12" s="17">
        <v>1.8081186386011999E-2</v>
      </c>
      <c r="K12" s="17">
        <v>2.7706417430475899E-2</v>
      </c>
      <c r="L12" s="17">
        <v>2.7601482770735E-2</v>
      </c>
      <c r="M12" s="17"/>
      <c r="N12" s="17">
        <v>4.4419320092141199E-3</v>
      </c>
      <c r="O12" s="17">
        <v>3.9872243266643199E-3</v>
      </c>
      <c r="P12" s="17">
        <v>3.7570262152815802E-2</v>
      </c>
      <c r="Q12" s="17">
        <v>2.8980234526728401E-2</v>
      </c>
      <c r="R12" s="17">
        <v>2.1904971718419201E-2</v>
      </c>
      <c r="S12" s="17">
        <v>1.6483765699982899E-2</v>
      </c>
      <c r="T12" s="17">
        <v>2.72545799264165E-2</v>
      </c>
      <c r="U12" s="17">
        <v>1.9457651531177501E-2</v>
      </c>
      <c r="V12" s="17">
        <v>1.6385125324633799E-2</v>
      </c>
      <c r="W12" s="17"/>
      <c r="X12" s="17">
        <v>1.7659401174710598E-2</v>
      </c>
      <c r="Y12" s="17">
        <v>2.6704096271748801E-2</v>
      </c>
    </row>
    <row r="13" spans="2:25" x14ac:dyDescent="0.35">
      <c r="B13" s="18" t="s">
        <v>89</v>
      </c>
      <c r="C13" s="17">
        <v>1.60616992481738E-2</v>
      </c>
      <c r="D13" s="17">
        <v>1.5578248101737101E-2</v>
      </c>
      <c r="E13" s="17">
        <v>1.6581089901292399E-2</v>
      </c>
      <c r="F13" s="17"/>
      <c r="G13" s="17">
        <v>5.8421728863263904E-3</v>
      </c>
      <c r="H13" s="17">
        <v>7.2760573717750299E-3</v>
      </c>
      <c r="I13" s="17">
        <v>8.7427908236260895E-3</v>
      </c>
      <c r="J13" s="17">
        <v>1.6277355208848699E-2</v>
      </c>
      <c r="K13" s="17">
        <v>2.3090659639669001E-2</v>
      </c>
      <c r="L13" s="17">
        <v>2.4986597904987001E-2</v>
      </c>
      <c r="M13" s="17"/>
      <c r="N13" s="17">
        <v>1.2071306588364999E-2</v>
      </c>
      <c r="O13" s="17">
        <v>3.35963674736885E-3</v>
      </c>
      <c r="P13" s="17">
        <v>2.1896993109057399E-2</v>
      </c>
      <c r="Q13" s="17">
        <v>3.1355399565851899E-2</v>
      </c>
      <c r="R13" s="17">
        <v>5.1000078770968302E-3</v>
      </c>
      <c r="S13" s="17">
        <v>2.2855122702107E-2</v>
      </c>
      <c r="T13" s="17">
        <v>6.75553091223066E-3</v>
      </c>
      <c r="U13" s="17">
        <v>1.3574195419517999E-2</v>
      </c>
      <c r="V13" s="17">
        <v>1.1785218385055999E-2</v>
      </c>
      <c r="W13" s="17"/>
      <c r="X13" s="17">
        <v>8.9812965944931593E-3</v>
      </c>
      <c r="Y13" s="17">
        <v>1.99797570666185E-2</v>
      </c>
    </row>
    <row r="14" spans="2:25" x14ac:dyDescent="0.35">
      <c r="B14" s="18" t="s">
        <v>69</v>
      </c>
      <c r="C14" s="17">
        <v>2.3275036655357399E-2</v>
      </c>
      <c r="D14" s="17">
        <v>2.0346011530733399E-2</v>
      </c>
      <c r="E14" s="17">
        <v>2.5811143989916401E-2</v>
      </c>
      <c r="F14" s="17"/>
      <c r="G14" s="17">
        <v>1.4505674374884901E-2</v>
      </c>
      <c r="H14" s="17">
        <v>1.08687057856851E-2</v>
      </c>
      <c r="I14" s="17">
        <v>1.72725431419238E-2</v>
      </c>
      <c r="J14" s="17">
        <v>2.6270082126111701E-2</v>
      </c>
      <c r="K14" s="17">
        <v>2.6000835506390301E-2</v>
      </c>
      <c r="L14" s="17">
        <v>3.3892368687347199E-2</v>
      </c>
      <c r="M14" s="17"/>
      <c r="N14" s="17">
        <v>2.21900388482929E-2</v>
      </c>
      <c r="O14" s="17">
        <v>8.4199218384367405E-3</v>
      </c>
      <c r="P14" s="17">
        <v>3.3890482213043298E-2</v>
      </c>
      <c r="Q14" s="17">
        <v>2.0709591714278101E-2</v>
      </c>
      <c r="R14" s="17">
        <v>2.1950375342242701E-2</v>
      </c>
      <c r="S14" s="17">
        <v>3.0395759913395801E-2</v>
      </c>
      <c r="T14" s="17">
        <v>1.3008807466680801E-2</v>
      </c>
      <c r="U14" s="17">
        <v>2.75099736616683E-2</v>
      </c>
      <c r="V14" s="17">
        <v>1.18064647016931E-2</v>
      </c>
      <c r="W14" s="17"/>
      <c r="X14" s="17">
        <v>1.41220226703741E-2</v>
      </c>
      <c r="Y14" s="17">
        <v>2.8340008205747402E-2</v>
      </c>
    </row>
    <row r="15" spans="2:25" x14ac:dyDescent="0.35">
      <c r="B15" s="18" t="s">
        <v>90</v>
      </c>
      <c r="C15" s="21">
        <v>0.84404804142237699</v>
      </c>
      <c r="D15" s="21">
        <v>0.83521132481798499</v>
      </c>
      <c r="E15" s="21">
        <v>0.85239559213095895</v>
      </c>
      <c r="F15" s="21"/>
      <c r="G15" s="21">
        <v>0.84397528760235996</v>
      </c>
      <c r="H15" s="21">
        <v>0.85766558258705405</v>
      </c>
      <c r="I15" s="21">
        <v>0.87883171760037104</v>
      </c>
      <c r="J15" s="21">
        <v>0.84958882518486101</v>
      </c>
      <c r="K15" s="21">
        <v>0.84804146529886804</v>
      </c>
      <c r="L15" s="21">
        <v>0.80728681541706404</v>
      </c>
      <c r="M15" s="21"/>
      <c r="N15" s="21">
        <v>0.91452003436209295</v>
      </c>
      <c r="O15" s="21">
        <v>0.954628306544415</v>
      </c>
      <c r="P15" s="21">
        <v>0.82927433163339803</v>
      </c>
      <c r="Q15" s="21">
        <v>0.82618759886240301</v>
      </c>
      <c r="R15" s="21">
        <v>0.82792707234816199</v>
      </c>
      <c r="S15" s="21">
        <v>0.85259353731001397</v>
      </c>
      <c r="T15" s="21">
        <v>0.83740889058535795</v>
      </c>
      <c r="U15" s="21">
        <v>0.83364767766019898</v>
      </c>
      <c r="V15" s="21">
        <v>0.89498707438722802</v>
      </c>
      <c r="W15" s="21"/>
      <c r="X15" s="21">
        <v>0.88346779086133698</v>
      </c>
      <c r="Y15" s="21">
        <v>0.82223447162346697</v>
      </c>
    </row>
    <row r="16" spans="2:25" x14ac:dyDescent="0.35">
      <c r="B16" s="18" t="s">
        <v>91</v>
      </c>
      <c r="C16" s="21">
        <v>3.9543741085103001E-2</v>
      </c>
      <c r="D16" s="21">
        <v>4.2650476106161003E-2</v>
      </c>
      <c r="E16" s="21">
        <v>3.6777289641747299E-2</v>
      </c>
      <c r="F16" s="21"/>
      <c r="G16" s="21">
        <v>4.0048427607995103E-2</v>
      </c>
      <c r="H16" s="21">
        <v>3.0403702451807998E-2</v>
      </c>
      <c r="I16" s="21">
        <v>2.1326879916328801E-2</v>
      </c>
      <c r="J16" s="21">
        <v>3.4358541594860702E-2</v>
      </c>
      <c r="K16" s="21">
        <v>5.07970770701449E-2</v>
      </c>
      <c r="L16" s="21">
        <v>5.2588080675722099E-2</v>
      </c>
      <c r="M16" s="21"/>
      <c r="N16" s="21">
        <v>1.65132385975791E-2</v>
      </c>
      <c r="O16" s="21">
        <v>7.3468610740331803E-3</v>
      </c>
      <c r="P16" s="21">
        <v>5.9467255261873103E-2</v>
      </c>
      <c r="Q16" s="21">
        <v>6.0335634092580297E-2</v>
      </c>
      <c r="R16" s="21">
        <v>2.7004979595515999E-2</v>
      </c>
      <c r="S16" s="21">
        <v>3.9338888402089899E-2</v>
      </c>
      <c r="T16" s="21">
        <v>3.4010110838647099E-2</v>
      </c>
      <c r="U16" s="21">
        <v>3.3031846950695498E-2</v>
      </c>
      <c r="V16" s="21">
        <v>2.81703437096898E-2</v>
      </c>
      <c r="W16" s="21"/>
      <c r="X16" s="21">
        <v>2.6640697769203699E-2</v>
      </c>
      <c r="Y16" s="21">
        <v>4.6683853338367297E-2</v>
      </c>
    </row>
    <row r="17" spans="2:25" x14ac:dyDescent="0.35">
      <c r="B17" s="18" t="s">
        <v>92</v>
      </c>
      <c r="C17" s="22">
        <v>0.80450430033727405</v>
      </c>
      <c r="D17" s="22">
        <v>0.79256084871182397</v>
      </c>
      <c r="E17" s="22">
        <v>0.81561830248921197</v>
      </c>
      <c r="F17" s="22"/>
      <c r="G17" s="22">
        <v>0.80392685999436497</v>
      </c>
      <c r="H17" s="22">
        <v>0.82726188013524604</v>
      </c>
      <c r="I17" s="22">
        <v>0.85750483768404195</v>
      </c>
      <c r="J17" s="22">
        <v>0.81523028359000105</v>
      </c>
      <c r="K17" s="22">
        <v>0.79724438822872301</v>
      </c>
      <c r="L17" s="22">
        <v>0.75469873474134197</v>
      </c>
      <c r="M17" s="22"/>
      <c r="N17" s="22">
        <v>0.89800679576451303</v>
      </c>
      <c r="O17" s="22">
        <v>0.94728144547038196</v>
      </c>
      <c r="P17" s="22">
        <v>0.76980707637152501</v>
      </c>
      <c r="Q17" s="22">
        <v>0.76585196476982298</v>
      </c>
      <c r="R17" s="22">
        <v>0.80092209275264603</v>
      </c>
      <c r="S17" s="22">
        <v>0.81325464890792398</v>
      </c>
      <c r="T17" s="22">
        <v>0.80339877974671103</v>
      </c>
      <c r="U17" s="22">
        <v>0.80061583070950304</v>
      </c>
      <c r="V17" s="22">
        <v>0.86681673067753795</v>
      </c>
      <c r="W17" s="22"/>
      <c r="X17" s="22">
        <v>0.85682709309213301</v>
      </c>
      <c r="Y17" s="22">
        <v>0.77555061828509997</v>
      </c>
    </row>
    <row r="18" spans="2:25" x14ac:dyDescent="0.35">
      <c r="B18" s="16"/>
    </row>
    <row r="19" spans="2:25" x14ac:dyDescent="0.35">
      <c r="B19" t="s">
        <v>51</v>
      </c>
    </row>
    <row r="20" spans="2:25" x14ac:dyDescent="0.35">
      <c r="B20" t="s">
        <v>52</v>
      </c>
    </row>
    <row r="22" spans="2:25" x14ac:dyDescent="0.35">
      <c r="B22" s="8" t="str">
        <f>HYPERLINK("#'Contents'!A1", "Return to Contents")</f>
        <v>Return to Contents</v>
      </c>
    </row>
  </sheetData>
  <mergeCells count="5">
    <mergeCell ref="D5:E5"/>
    <mergeCell ref="G5:L5"/>
    <mergeCell ref="N5:V5"/>
    <mergeCell ref="X5:Y5"/>
    <mergeCell ref="D2:W2"/>
  </mergeCells>
  <pageMargins left="0.7" right="0.7" top="0.75" bottom="0.75" header="0.3" footer="0.3"/>
  <pageSetup paperSize="9" orientation="portrait" horizontalDpi="300" verticalDpi="300"/>
  <drawing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B2:Y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s>
  <sheetData>
    <row r="2" spans="2:25" ht="40" customHeight="1" x14ac:dyDescent="0.35">
      <c r="D2" s="30" t="s">
        <v>196</v>
      </c>
      <c r="E2" s="26"/>
      <c r="F2" s="26"/>
      <c r="G2" s="26"/>
      <c r="H2" s="26"/>
      <c r="I2" s="26"/>
      <c r="J2" s="26"/>
      <c r="K2" s="26"/>
      <c r="L2" s="26"/>
      <c r="M2" s="26"/>
      <c r="N2" s="26"/>
      <c r="O2" s="26"/>
      <c r="P2" s="26"/>
      <c r="Q2" s="26"/>
      <c r="R2" s="26"/>
      <c r="S2" s="26"/>
      <c r="T2" s="26"/>
      <c r="U2" s="26"/>
      <c r="V2" s="26"/>
      <c r="W2" s="26"/>
    </row>
    <row r="5" spans="2:25" ht="30" customHeight="1" x14ac:dyDescent="0.35">
      <c r="B5" s="15"/>
      <c r="C5" s="15"/>
      <c r="D5" s="29" t="s">
        <v>38</v>
      </c>
      <c r="E5" s="29"/>
      <c r="F5" s="15"/>
      <c r="G5" s="29" t="s">
        <v>39</v>
      </c>
      <c r="H5" s="29"/>
      <c r="I5" s="29"/>
      <c r="J5" s="29"/>
      <c r="K5" s="29"/>
      <c r="L5" s="29"/>
      <c r="M5" s="15"/>
      <c r="N5" s="29" t="s">
        <v>40</v>
      </c>
      <c r="O5" s="29"/>
      <c r="P5" s="29"/>
      <c r="Q5" s="29"/>
      <c r="R5" s="29"/>
      <c r="S5" s="29"/>
      <c r="T5" s="29"/>
      <c r="U5" s="29"/>
      <c r="V5" s="29"/>
      <c r="W5" s="15"/>
      <c r="X5" s="29" t="s">
        <v>41</v>
      </c>
      <c r="Y5" s="29"/>
    </row>
    <row r="6" spans="2:25" ht="29"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row>
    <row r="7" spans="2:25" ht="30" customHeight="1" x14ac:dyDescent="0.35">
      <c r="B7" s="10" t="s">
        <v>19</v>
      </c>
      <c r="C7" s="10">
        <v>6838</v>
      </c>
      <c r="D7" s="10">
        <v>3283</v>
      </c>
      <c r="E7" s="10">
        <v>3541</v>
      </c>
      <c r="F7" s="10"/>
      <c r="G7" s="10">
        <v>635</v>
      </c>
      <c r="H7" s="10">
        <v>1075</v>
      </c>
      <c r="I7" s="10">
        <v>1093</v>
      </c>
      <c r="J7" s="10">
        <v>1228</v>
      </c>
      <c r="K7" s="10">
        <v>1156</v>
      </c>
      <c r="L7" s="10">
        <v>1651</v>
      </c>
      <c r="M7" s="10"/>
      <c r="N7" s="10">
        <v>208</v>
      </c>
      <c r="O7" s="10">
        <v>200</v>
      </c>
      <c r="P7" s="10">
        <v>1002</v>
      </c>
      <c r="Q7" s="10">
        <v>1000</v>
      </c>
      <c r="R7" s="10">
        <v>1004</v>
      </c>
      <c r="S7" s="10">
        <v>1006</v>
      </c>
      <c r="T7" s="10">
        <v>1006</v>
      </c>
      <c r="U7" s="10">
        <v>1007</v>
      </c>
      <c r="V7" s="10">
        <v>405</v>
      </c>
      <c r="W7" s="10"/>
      <c r="X7" s="10">
        <v>2650</v>
      </c>
      <c r="Y7" s="10">
        <v>4188</v>
      </c>
    </row>
    <row r="8" spans="2:25" ht="30" customHeight="1" x14ac:dyDescent="0.35">
      <c r="B8" s="11" t="s">
        <v>20</v>
      </c>
      <c r="C8" s="11">
        <v>6838</v>
      </c>
      <c r="D8" s="11">
        <v>3309</v>
      </c>
      <c r="E8" s="11">
        <v>3515</v>
      </c>
      <c r="F8" s="11"/>
      <c r="G8" s="11">
        <v>645</v>
      </c>
      <c r="H8" s="11">
        <v>1026</v>
      </c>
      <c r="I8" s="11">
        <v>1111</v>
      </c>
      <c r="J8" s="11">
        <v>1184</v>
      </c>
      <c r="K8" s="11">
        <v>1140</v>
      </c>
      <c r="L8" s="11">
        <v>1732</v>
      </c>
      <c r="M8" s="11"/>
      <c r="N8" s="11">
        <v>208</v>
      </c>
      <c r="O8" s="11">
        <v>200</v>
      </c>
      <c r="P8" s="11">
        <v>1002</v>
      </c>
      <c r="Q8" s="11">
        <v>1000</v>
      </c>
      <c r="R8" s="11">
        <v>1004</v>
      </c>
      <c r="S8" s="11">
        <v>1006</v>
      </c>
      <c r="T8" s="11">
        <v>1006</v>
      </c>
      <c r="U8" s="11">
        <v>1007</v>
      </c>
      <c r="V8" s="11">
        <v>405</v>
      </c>
      <c r="W8" s="11"/>
      <c r="X8" s="11">
        <v>2436</v>
      </c>
      <c r="Y8" s="11">
        <v>4402</v>
      </c>
    </row>
    <row r="9" spans="2:25" x14ac:dyDescent="0.35">
      <c r="B9" s="18" t="s">
        <v>85</v>
      </c>
      <c r="C9" s="17">
        <v>0.27606043262511598</v>
      </c>
      <c r="D9" s="17">
        <v>0.30277769555170703</v>
      </c>
      <c r="E9" s="17">
        <v>0.25095182174439301</v>
      </c>
      <c r="F9" s="17"/>
      <c r="G9" s="17">
        <v>0.44492810482149697</v>
      </c>
      <c r="H9" s="17">
        <v>0.39959003136663801</v>
      </c>
      <c r="I9" s="17">
        <v>0.35236755591771801</v>
      </c>
      <c r="J9" s="17">
        <v>0.285283452410108</v>
      </c>
      <c r="K9" s="17">
        <v>0.21887052460180001</v>
      </c>
      <c r="L9" s="17">
        <v>0.12248276679473299</v>
      </c>
      <c r="M9" s="17"/>
      <c r="N9" s="17">
        <v>0.289955696136936</v>
      </c>
      <c r="O9" s="17">
        <v>0.30419001826353798</v>
      </c>
      <c r="P9" s="17">
        <v>0.20732224667002599</v>
      </c>
      <c r="Q9" s="17">
        <v>0.26426150798319298</v>
      </c>
      <c r="R9" s="17">
        <v>0.22341259718086201</v>
      </c>
      <c r="S9" s="17">
        <v>0.391399884728728</v>
      </c>
      <c r="T9" s="17">
        <v>0.28557173293300098</v>
      </c>
      <c r="U9" s="17">
        <v>0.254813953567535</v>
      </c>
      <c r="V9" s="17">
        <v>0.32744865312346799</v>
      </c>
      <c r="W9" s="17"/>
      <c r="X9" s="17">
        <v>0.38636406347936503</v>
      </c>
      <c r="Y9" s="17">
        <v>0.21502209562507801</v>
      </c>
    </row>
    <row r="10" spans="2:25" x14ac:dyDescent="0.35">
      <c r="B10" s="18" t="s">
        <v>86</v>
      </c>
      <c r="C10" s="17">
        <v>0.26999477841687702</v>
      </c>
      <c r="D10" s="17">
        <v>0.28072230142777299</v>
      </c>
      <c r="E10" s="17">
        <v>0.25984885744724201</v>
      </c>
      <c r="F10" s="17"/>
      <c r="G10" s="17">
        <v>0.33383442094022098</v>
      </c>
      <c r="H10" s="17">
        <v>0.33406568538599801</v>
      </c>
      <c r="I10" s="17">
        <v>0.30886787875807298</v>
      </c>
      <c r="J10" s="17">
        <v>0.26801256686305502</v>
      </c>
      <c r="K10" s="17">
        <v>0.25077504111305199</v>
      </c>
      <c r="L10" s="17">
        <v>0.19737813932779899</v>
      </c>
      <c r="M10" s="17"/>
      <c r="N10" s="17">
        <v>0.27842745032399802</v>
      </c>
      <c r="O10" s="17">
        <v>0.228715849733063</v>
      </c>
      <c r="P10" s="17">
        <v>0.239128926171746</v>
      </c>
      <c r="Q10" s="17">
        <v>0.23496047792170099</v>
      </c>
      <c r="R10" s="17">
        <v>0.32326323901177101</v>
      </c>
      <c r="S10" s="17">
        <v>0.25244204986423202</v>
      </c>
      <c r="T10" s="17">
        <v>0.2535091287231</v>
      </c>
      <c r="U10" s="17">
        <v>0.31496097507658299</v>
      </c>
      <c r="V10" s="17">
        <v>0.28960907092843002</v>
      </c>
      <c r="W10" s="17"/>
      <c r="X10" s="17">
        <v>0.29375120244502601</v>
      </c>
      <c r="Y10" s="17">
        <v>0.25684876858459799</v>
      </c>
    </row>
    <row r="11" spans="2:25" ht="29" x14ac:dyDescent="0.35">
      <c r="B11" s="18" t="s">
        <v>181</v>
      </c>
      <c r="C11" s="17">
        <v>0.18776144938230099</v>
      </c>
      <c r="D11" s="17">
        <v>0.191861289934282</v>
      </c>
      <c r="E11" s="17">
        <v>0.18372861328030601</v>
      </c>
      <c r="F11" s="17"/>
      <c r="G11" s="17">
        <v>0.14369043533415199</v>
      </c>
      <c r="H11" s="17">
        <v>0.16204380723541201</v>
      </c>
      <c r="I11" s="17">
        <v>0.17848803504426999</v>
      </c>
      <c r="J11" s="17">
        <v>0.22138261471356899</v>
      </c>
      <c r="K11" s="17">
        <v>0.18350316028031799</v>
      </c>
      <c r="L11" s="17">
        <v>0.205163148264148</v>
      </c>
      <c r="M11" s="17"/>
      <c r="N11" s="17">
        <v>0.163438763905358</v>
      </c>
      <c r="O11" s="17">
        <v>0.13867185585259301</v>
      </c>
      <c r="P11" s="17">
        <v>0.16887822772733299</v>
      </c>
      <c r="Q11" s="17">
        <v>0.174770313581016</v>
      </c>
      <c r="R11" s="17">
        <v>0.219493776931831</v>
      </c>
      <c r="S11" s="17">
        <v>0.14658796767865501</v>
      </c>
      <c r="T11" s="17">
        <v>0.23137008496171699</v>
      </c>
      <c r="U11" s="17">
        <v>0.21509397721190501</v>
      </c>
      <c r="V11" s="17">
        <v>0.15061647160834599</v>
      </c>
      <c r="W11" s="17"/>
      <c r="X11" s="17">
        <v>0.154249652231912</v>
      </c>
      <c r="Y11" s="17">
        <v>0.20630575614809801</v>
      </c>
    </row>
    <row r="12" spans="2:25" x14ac:dyDescent="0.35">
      <c r="B12" s="18" t="s">
        <v>88</v>
      </c>
      <c r="C12" s="17">
        <v>8.0335769152260095E-2</v>
      </c>
      <c r="D12" s="17">
        <v>7.0962528396194602E-2</v>
      </c>
      <c r="E12" s="17">
        <v>8.9200026215679101E-2</v>
      </c>
      <c r="F12" s="17"/>
      <c r="G12" s="17">
        <v>4.3439386980725997E-2</v>
      </c>
      <c r="H12" s="17">
        <v>4.9961594831415899E-2</v>
      </c>
      <c r="I12" s="17">
        <v>6.1365974817159302E-2</v>
      </c>
      <c r="J12" s="17">
        <v>7.1170250328886506E-2</v>
      </c>
      <c r="K12" s="17">
        <v>0.10470287114964801</v>
      </c>
      <c r="L12" s="17">
        <v>0.114440266891007</v>
      </c>
      <c r="M12" s="17"/>
      <c r="N12" s="17">
        <v>6.6354098051973606E-2</v>
      </c>
      <c r="O12" s="17">
        <v>0.120410604586155</v>
      </c>
      <c r="P12" s="17">
        <v>9.21313631152125E-2</v>
      </c>
      <c r="Q12" s="17">
        <v>9.4901436563729305E-2</v>
      </c>
      <c r="R12" s="17">
        <v>9.0329806337297799E-2</v>
      </c>
      <c r="S12" s="17">
        <v>5.9813791831364399E-2</v>
      </c>
      <c r="T12" s="17">
        <v>8.1409606241506893E-2</v>
      </c>
      <c r="U12" s="17">
        <v>4.58553509490685E-2</v>
      </c>
      <c r="V12" s="17">
        <v>0.111844324237713</v>
      </c>
      <c r="W12" s="17"/>
      <c r="X12" s="17">
        <v>6.3215015867992802E-2</v>
      </c>
      <c r="Y12" s="17">
        <v>8.9809820917976596E-2</v>
      </c>
    </row>
    <row r="13" spans="2:25" x14ac:dyDescent="0.35">
      <c r="B13" s="18" t="s">
        <v>89</v>
      </c>
      <c r="C13" s="17">
        <v>9.1406689456968407E-2</v>
      </c>
      <c r="D13" s="17">
        <v>7.9173041934224406E-2</v>
      </c>
      <c r="E13" s="17">
        <v>0.10328920821837199</v>
      </c>
      <c r="F13" s="17"/>
      <c r="G13" s="17">
        <v>9.7594508954413593E-3</v>
      </c>
      <c r="H13" s="17">
        <v>2.8480984682210001E-2</v>
      </c>
      <c r="I13" s="17">
        <v>4.1185124355428399E-2</v>
      </c>
      <c r="J13" s="17">
        <v>6.2258029874730503E-2</v>
      </c>
      <c r="K13" s="17">
        <v>0.13510009471874099</v>
      </c>
      <c r="L13" s="17">
        <v>0.18241613338509899</v>
      </c>
      <c r="M13" s="17"/>
      <c r="N13" s="17">
        <v>6.8217112589269505E-2</v>
      </c>
      <c r="O13" s="17">
        <v>0.111245732893682</v>
      </c>
      <c r="P13" s="17">
        <v>0.149801869235104</v>
      </c>
      <c r="Q13" s="17">
        <v>0.163850263257001</v>
      </c>
      <c r="R13" s="17">
        <v>5.4089553585736902E-2</v>
      </c>
      <c r="S13" s="17">
        <v>6.4778000223869606E-2</v>
      </c>
      <c r="T13" s="17">
        <v>8.0226073339428494E-2</v>
      </c>
      <c r="U13" s="17">
        <v>3.88488394541582E-2</v>
      </c>
      <c r="V13" s="17">
        <v>8.7279281836481898E-2</v>
      </c>
      <c r="W13" s="17"/>
      <c r="X13" s="17">
        <v>5.0780384488566102E-2</v>
      </c>
      <c r="Y13" s="17">
        <v>0.11388792669751201</v>
      </c>
    </row>
    <row r="14" spans="2:25" x14ac:dyDescent="0.35">
      <c r="B14" s="18" t="s">
        <v>69</v>
      </c>
      <c r="C14" s="17">
        <v>9.4440880966477E-2</v>
      </c>
      <c r="D14" s="17">
        <v>7.4503142755819401E-2</v>
      </c>
      <c r="E14" s="17">
        <v>0.11298147309400799</v>
      </c>
      <c r="F14" s="17"/>
      <c r="G14" s="17">
        <v>2.4348201027963302E-2</v>
      </c>
      <c r="H14" s="17">
        <v>2.5857896498325199E-2</v>
      </c>
      <c r="I14" s="17">
        <v>5.77254311073509E-2</v>
      </c>
      <c r="J14" s="17">
        <v>9.1893085809650596E-2</v>
      </c>
      <c r="K14" s="17">
        <v>0.10704830813644101</v>
      </c>
      <c r="L14" s="17">
        <v>0.178119545337213</v>
      </c>
      <c r="M14" s="17"/>
      <c r="N14" s="17">
        <v>0.13360687899246501</v>
      </c>
      <c r="O14" s="17">
        <v>9.6765938670970095E-2</v>
      </c>
      <c r="P14" s="17">
        <v>0.14273736708057699</v>
      </c>
      <c r="Q14" s="17">
        <v>6.7256000693359894E-2</v>
      </c>
      <c r="R14" s="17">
        <v>8.9411026952501194E-2</v>
      </c>
      <c r="S14" s="17">
        <v>8.4978305673151802E-2</v>
      </c>
      <c r="T14" s="17">
        <v>6.7913373801246998E-2</v>
      </c>
      <c r="U14" s="17">
        <v>0.13042690374075</v>
      </c>
      <c r="V14" s="17">
        <v>3.3202198265562498E-2</v>
      </c>
      <c r="W14" s="17"/>
      <c r="X14" s="17">
        <v>5.16396814871386E-2</v>
      </c>
      <c r="Y14" s="17">
        <v>0.118125632026737</v>
      </c>
    </row>
    <row r="15" spans="2:25" x14ac:dyDescent="0.35">
      <c r="B15" s="18" t="s">
        <v>90</v>
      </c>
      <c r="C15" s="21">
        <v>0.54605521104199295</v>
      </c>
      <c r="D15" s="21">
        <v>0.58349999697947896</v>
      </c>
      <c r="E15" s="21">
        <v>0.51080067919163497</v>
      </c>
      <c r="F15" s="21"/>
      <c r="G15" s="21">
        <v>0.77876252576171701</v>
      </c>
      <c r="H15" s="21">
        <v>0.73365571675263697</v>
      </c>
      <c r="I15" s="21">
        <v>0.66123543467579204</v>
      </c>
      <c r="J15" s="21">
        <v>0.55329601927316296</v>
      </c>
      <c r="K15" s="21">
        <v>0.469645565714853</v>
      </c>
      <c r="L15" s="21">
        <v>0.31986090612253298</v>
      </c>
      <c r="M15" s="21"/>
      <c r="N15" s="21">
        <v>0.56838314646093402</v>
      </c>
      <c r="O15" s="21">
        <v>0.532905867996601</v>
      </c>
      <c r="P15" s="21">
        <v>0.44645117284177299</v>
      </c>
      <c r="Q15" s="21">
        <v>0.49922198590489397</v>
      </c>
      <c r="R15" s="21">
        <v>0.54667583619263305</v>
      </c>
      <c r="S15" s="21">
        <v>0.64384193459295902</v>
      </c>
      <c r="T15" s="21">
        <v>0.53908086165610103</v>
      </c>
      <c r="U15" s="21">
        <v>0.56977492864411805</v>
      </c>
      <c r="V15" s="21">
        <v>0.61705772405189696</v>
      </c>
      <c r="W15" s="21"/>
      <c r="X15" s="21">
        <v>0.68011526592439098</v>
      </c>
      <c r="Y15" s="21">
        <v>0.471870864209676</v>
      </c>
    </row>
    <row r="16" spans="2:25" x14ac:dyDescent="0.35">
      <c r="B16" s="18" t="s">
        <v>91</v>
      </c>
      <c r="C16" s="21">
        <v>0.17174245860922899</v>
      </c>
      <c r="D16" s="21">
        <v>0.15013557033041899</v>
      </c>
      <c r="E16" s="21">
        <v>0.192489234434051</v>
      </c>
      <c r="F16" s="21"/>
      <c r="G16" s="21">
        <v>5.3198837876167401E-2</v>
      </c>
      <c r="H16" s="21">
        <v>7.8442579513625904E-2</v>
      </c>
      <c r="I16" s="21">
        <v>0.10255109917258801</v>
      </c>
      <c r="J16" s="21">
        <v>0.13342828020361699</v>
      </c>
      <c r="K16" s="21">
        <v>0.23980296586838801</v>
      </c>
      <c r="L16" s="21">
        <v>0.29685640027610599</v>
      </c>
      <c r="M16" s="21"/>
      <c r="N16" s="21">
        <v>0.134571210641243</v>
      </c>
      <c r="O16" s="21">
        <v>0.23165633747983699</v>
      </c>
      <c r="P16" s="21">
        <v>0.241933232350317</v>
      </c>
      <c r="Q16" s="21">
        <v>0.25875169982072999</v>
      </c>
      <c r="R16" s="21">
        <v>0.14441935992303501</v>
      </c>
      <c r="S16" s="21">
        <v>0.124591792055234</v>
      </c>
      <c r="T16" s="21">
        <v>0.161635679580935</v>
      </c>
      <c r="U16" s="21">
        <v>8.4704190403226604E-2</v>
      </c>
      <c r="V16" s="21">
        <v>0.19912360607419399</v>
      </c>
      <c r="W16" s="21"/>
      <c r="X16" s="21">
        <v>0.113995400356559</v>
      </c>
      <c r="Y16" s="21">
        <v>0.20369774761548801</v>
      </c>
    </row>
    <row r="17" spans="2:25" x14ac:dyDescent="0.35">
      <c r="B17" s="18" t="s">
        <v>92</v>
      </c>
      <c r="C17" s="22">
        <v>0.37431275243276402</v>
      </c>
      <c r="D17" s="22">
        <v>0.43336442664906</v>
      </c>
      <c r="E17" s="22">
        <v>0.31831144475758399</v>
      </c>
      <c r="F17" s="22"/>
      <c r="G17" s="22">
        <v>0.72556368788555003</v>
      </c>
      <c r="H17" s="22">
        <v>0.65521313723901098</v>
      </c>
      <c r="I17" s="22">
        <v>0.55868433550320395</v>
      </c>
      <c r="J17" s="22">
        <v>0.419867739069546</v>
      </c>
      <c r="K17" s="22">
        <v>0.22984259984646399</v>
      </c>
      <c r="L17" s="22">
        <v>2.30045058464266E-2</v>
      </c>
      <c r="M17" s="22"/>
      <c r="N17" s="22">
        <v>0.43381193581969102</v>
      </c>
      <c r="O17" s="22">
        <v>0.30124953051676401</v>
      </c>
      <c r="P17" s="22">
        <v>0.204517940491456</v>
      </c>
      <c r="Q17" s="22">
        <v>0.24047028608416399</v>
      </c>
      <c r="R17" s="22">
        <v>0.40225647626959898</v>
      </c>
      <c r="S17" s="22">
        <v>0.51925014253772495</v>
      </c>
      <c r="T17" s="22">
        <v>0.37744518207516597</v>
      </c>
      <c r="U17" s="22">
        <v>0.48507073824089098</v>
      </c>
      <c r="V17" s="22">
        <v>0.41793411797770302</v>
      </c>
      <c r="W17" s="22"/>
      <c r="X17" s="22">
        <v>0.566119865567832</v>
      </c>
      <c r="Y17" s="22">
        <v>0.26817311659418702</v>
      </c>
    </row>
    <row r="18" spans="2:25" x14ac:dyDescent="0.35">
      <c r="B18" s="16"/>
    </row>
    <row r="19" spans="2:25" x14ac:dyDescent="0.35">
      <c r="B19" t="s">
        <v>51</v>
      </c>
    </row>
    <row r="20" spans="2:25" x14ac:dyDescent="0.35">
      <c r="B20" t="s">
        <v>52</v>
      </c>
    </row>
    <row r="22" spans="2:25" x14ac:dyDescent="0.35">
      <c r="B22" s="8" t="str">
        <f>HYPERLINK("#'Contents'!A1", "Return to Contents")</f>
        <v>Return to Contents</v>
      </c>
    </row>
  </sheetData>
  <mergeCells count="5">
    <mergeCell ref="D5:E5"/>
    <mergeCell ref="G5:L5"/>
    <mergeCell ref="N5:V5"/>
    <mergeCell ref="X5:Y5"/>
    <mergeCell ref="D2:W2"/>
  </mergeCells>
  <pageMargins left="0.7" right="0.7" top="0.75" bottom="0.75" header="0.3" footer="0.3"/>
  <pageSetup paperSize="9" orientation="portrait" horizontalDpi="300" verticalDpi="300"/>
  <drawing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B2:Y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s>
  <sheetData>
    <row r="2" spans="2:25" ht="40" customHeight="1" x14ac:dyDescent="0.35">
      <c r="D2" s="30" t="s">
        <v>197</v>
      </c>
      <c r="E2" s="26"/>
      <c r="F2" s="26"/>
      <c r="G2" s="26"/>
      <c r="H2" s="26"/>
      <c r="I2" s="26"/>
      <c r="J2" s="26"/>
      <c r="K2" s="26"/>
      <c r="L2" s="26"/>
      <c r="M2" s="26"/>
      <c r="N2" s="26"/>
      <c r="O2" s="26"/>
      <c r="P2" s="26"/>
      <c r="Q2" s="26"/>
      <c r="R2" s="26"/>
      <c r="S2" s="26"/>
      <c r="T2" s="26"/>
      <c r="U2" s="26"/>
      <c r="V2" s="26"/>
      <c r="W2" s="26"/>
    </row>
    <row r="5" spans="2:25" ht="30" customHeight="1" x14ac:dyDescent="0.35">
      <c r="B5" s="15"/>
      <c r="C5" s="15"/>
      <c r="D5" s="29" t="s">
        <v>38</v>
      </c>
      <c r="E5" s="29"/>
      <c r="F5" s="15"/>
      <c r="G5" s="29" t="s">
        <v>39</v>
      </c>
      <c r="H5" s="29"/>
      <c r="I5" s="29"/>
      <c r="J5" s="29"/>
      <c r="K5" s="29"/>
      <c r="L5" s="29"/>
      <c r="M5" s="15"/>
      <c r="N5" s="29" t="s">
        <v>40</v>
      </c>
      <c r="O5" s="29"/>
      <c r="P5" s="29"/>
      <c r="Q5" s="29"/>
      <c r="R5" s="29"/>
      <c r="S5" s="29"/>
      <c r="T5" s="29"/>
      <c r="U5" s="29"/>
      <c r="V5" s="29"/>
      <c r="W5" s="15"/>
      <c r="X5" s="29" t="s">
        <v>41</v>
      </c>
      <c r="Y5" s="29"/>
    </row>
    <row r="6" spans="2:25" ht="29"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row>
    <row r="7" spans="2:25" ht="30" customHeight="1" x14ac:dyDescent="0.35">
      <c r="B7" s="10" t="s">
        <v>19</v>
      </c>
      <c r="C7" s="10">
        <v>6838</v>
      </c>
      <c r="D7" s="10">
        <v>3283</v>
      </c>
      <c r="E7" s="10">
        <v>3541</v>
      </c>
      <c r="F7" s="10"/>
      <c r="G7" s="10">
        <v>635</v>
      </c>
      <c r="H7" s="10">
        <v>1075</v>
      </c>
      <c r="I7" s="10">
        <v>1093</v>
      </c>
      <c r="J7" s="10">
        <v>1228</v>
      </c>
      <c r="K7" s="10">
        <v>1156</v>
      </c>
      <c r="L7" s="10">
        <v>1651</v>
      </c>
      <c r="M7" s="10"/>
      <c r="N7" s="10">
        <v>208</v>
      </c>
      <c r="O7" s="10">
        <v>200</v>
      </c>
      <c r="P7" s="10">
        <v>1002</v>
      </c>
      <c r="Q7" s="10">
        <v>1000</v>
      </c>
      <c r="R7" s="10">
        <v>1004</v>
      </c>
      <c r="S7" s="10">
        <v>1006</v>
      </c>
      <c r="T7" s="10">
        <v>1006</v>
      </c>
      <c r="U7" s="10">
        <v>1007</v>
      </c>
      <c r="V7" s="10">
        <v>405</v>
      </c>
      <c r="W7" s="10"/>
      <c r="X7" s="10">
        <v>2650</v>
      </c>
      <c r="Y7" s="10">
        <v>4188</v>
      </c>
    </row>
    <row r="8" spans="2:25" ht="30" customHeight="1" x14ac:dyDescent="0.35">
      <c r="B8" s="11" t="s">
        <v>20</v>
      </c>
      <c r="C8" s="11">
        <v>6838</v>
      </c>
      <c r="D8" s="11">
        <v>3309</v>
      </c>
      <c r="E8" s="11">
        <v>3515</v>
      </c>
      <c r="F8" s="11"/>
      <c r="G8" s="11">
        <v>645</v>
      </c>
      <c r="H8" s="11">
        <v>1026</v>
      </c>
      <c r="I8" s="11">
        <v>1111</v>
      </c>
      <c r="J8" s="11">
        <v>1184</v>
      </c>
      <c r="K8" s="11">
        <v>1140</v>
      </c>
      <c r="L8" s="11">
        <v>1732</v>
      </c>
      <c r="M8" s="11"/>
      <c r="N8" s="11">
        <v>208</v>
      </c>
      <c r="O8" s="11">
        <v>200</v>
      </c>
      <c r="P8" s="11">
        <v>1002</v>
      </c>
      <c r="Q8" s="11">
        <v>1000</v>
      </c>
      <c r="R8" s="11">
        <v>1004</v>
      </c>
      <c r="S8" s="11">
        <v>1006</v>
      </c>
      <c r="T8" s="11">
        <v>1006</v>
      </c>
      <c r="U8" s="11">
        <v>1007</v>
      </c>
      <c r="V8" s="11">
        <v>405</v>
      </c>
      <c r="W8" s="11"/>
      <c r="X8" s="11">
        <v>2436</v>
      </c>
      <c r="Y8" s="11">
        <v>4402</v>
      </c>
    </row>
    <row r="9" spans="2:25" x14ac:dyDescent="0.35">
      <c r="B9" s="18" t="s">
        <v>85</v>
      </c>
      <c r="C9" s="17">
        <v>0.32453811278327699</v>
      </c>
      <c r="D9" s="17">
        <v>0.38777498067796101</v>
      </c>
      <c r="E9" s="17">
        <v>0.26380986900576398</v>
      </c>
      <c r="F9" s="17"/>
      <c r="G9" s="17">
        <v>0.43846952441562198</v>
      </c>
      <c r="H9" s="17">
        <v>0.44010002238882101</v>
      </c>
      <c r="I9" s="17">
        <v>0.35080594057328202</v>
      </c>
      <c r="J9" s="17">
        <v>0.33547816256516699</v>
      </c>
      <c r="K9" s="17">
        <v>0.28898588832627498</v>
      </c>
      <c r="L9" s="17">
        <v>0.21280371637596199</v>
      </c>
      <c r="M9" s="17"/>
      <c r="N9" s="17">
        <v>0.450611083431739</v>
      </c>
      <c r="O9" s="17">
        <v>0.51204642553628199</v>
      </c>
      <c r="P9" s="17">
        <v>0.235993163307055</v>
      </c>
      <c r="Q9" s="17">
        <v>0.463429880826848</v>
      </c>
      <c r="R9" s="17">
        <v>0.266105673568792</v>
      </c>
      <c r="S9" s="17">
        <v>0.44414721633717402</v>
      </c>
      <c r="T9" s="17">
        <v>0.27572688112795402</v>
      </c>
      <c r="U9" s="17">
        <v>0.20449736799790899</v>
      </c>
      <c r="V9" s="17">
        <v>0.31078495408294898</v>
      </c>
      <c r="W9" s="17"/>
      <c r="X9" s="17">
        <v>0.41449914514695602</v>
      </c>
      <c r="Y9" s="17">
        <v>0.274756688837756</v>
      </c>
    </row>
    <row r="10" spans="2:25" x14ac:dyDescent="0.35">
      <c r="B10" s="18" t="s">
        <v>86</v>
      </c>
      <c r="C10" s="17">
        <v>0.21850920426936399</v>
      </c>
      <c r="D10" s="17">
        <v>0.22364113583526801</v>
      </c>
      <c r="E10" s="17">
        <v>0.214023803600872</v>
      </c>
      <c r="F10" s="17"/>
      <c r="G10" s="17">
        <v>0.23614042145699801</v>
      </c>
      <c r="H10" s="17">
        <v>0.262478891325713</v>
      </c>
      <c r="I10" s="17">
        <v>0.25416034397951998</v>
      </c>
      <c r="J10" s="17">
        <v>0.23518622507936299</v>
      </c>
      <c r="K10" s="17">
        <v>0.20019313284169499</v>
      </c>
      <c r="L10" s="17">
        <v>0.163709658156621</v>
      </c>
      <c r="M10" s="17"/>
      <c r="N10" s="17">
        <v>0.26070960458349501</v>
      </c>
      <c r="O10" s="17">
        <v>0.19816159806824499</v>
      </c>
      <c r="P10" s="17">
        <v>0.210797397581405</v>
      </c>
      <c r="Q10" s="17">
        <v>0.192021139517422</v>
      </c>
      <c r="R10" s="17">
        <v>0.27715279448073199</v>
      </c>
      <c r="S10" s="17">
        <v>0.21267611139613499</v>
      </c>
      <c r="T10" s="17">
        <v>0.202053464829238</v>
      </c>
      <c r="U10" s="17">
        <v>0.221948666717772</v>
      </c>
      <c r="V10" s="17">
        <v>0.19280055014007899</v>
      </c>
      <c r="W10" s="17"/>
      <c r="X10" s="17">
        <v>0.241249769939963</v>
      </c>
      <c r="Y10" s="17">
        <v>0.205925336447211</v>
      </c>
    </row>
    <row r="11" spans="2:25" ht="29" x14ac:dyDescent="0.35">
      <c r="B11" s="18" t="s">
        <v>181</v>
      </c>
      <c r="C11" s="17">
        <v>0.16117290201946</v>
      </c>
      <c r="D11" s="17">
        <v>0.16090096587581201</v>
      </c>
      <c r="E11" s="17">
        <v>0.16141099410374801</v>
      </c>
      <c r="F11" s="17"/>
      <c r="G11" s="17">
        <v>0.17835715595861501</v>
      </c>
      <c r="H11" s="17">
        <v>0.156663090239542</v>
      </c>
      <c r="I11" s="17">
        <v>0.17179467223145301</v>
      </c>
      <c r="J11" s="17">
        <v>0.15369042595028301</v>
      </c>
      <c r="K11" s="17">
        <v>0.15424098154475999</v>
      </c>
      <c r="L11" s="17">
        <v>0.16031008278112199</v>
      </c>
      <c r="M11" s="17"/>
      <c r="N11" s="17">
        <v>0.115702647490626</v>
      </c>
      <c r="O11" s="17">
        <v>0.106577073428307</v>
      </c>
      <c r="P11" s="17">
        <v>0.18707884356410701</v>
      </c>
      <c r="Q11" s="17">
        <v>0.124433511201597</v>
      </c>
      <c r="R11" s="17">
        <v>0.17562324672743501</v>
      </c>
      <c r="S11" s="17">
        <v>0.101224397952137</v>
      </c>
      <c r="T11" s="17">
        <v>0.180324517397526</v>
      </c>
      <c r="U11" s="17">
        <v>0.22466361249021999</v>
      </c>
      <c r="V11" s="17">
        <v>0.14575807372535499</v>
      </c>
      <c r="W11" s="17"/>
      <c r="X11" s="17">
        <v>0.14210747074174401</v>
      </c>
      <c r="Y11" s="17">
        <v>0.171723073490407</v>
      </c>
    </row>
    <row r="12" spans="2:25" x14ac:dyDescent="0.35">
      <c r="B12" s="18" t="s">
        <v>88</v>
      </c>
      <c r="C12" s="17">
        <v>6.5032786213663304E-2</v>
      </c>
      <c r="D12" s="17">
        <v>5.66736829505173E-2</v>
      </c>
      <c r="E12" s="17">
        <v>7.3162273885542403E-2</v>
      </c>
      <c r="F12" s="17"/>
      <c r="G12" s="17">
        <v>4.6650200450348199E-2</v>
      </c>
      <c r="H12" s="17">
        <v>4.4917082756502302E-2</v>
      </c>
      <c r="I12" s="17">
        <v>6.7050393629870003E-2</v>
      </c>
      <c r="J12" s="17">
        <v>6.8320597256912502E-2</v>
      </c>
      <c r="K12" s="17">
        <v>5.64493469805393E-2</v>
      </c>
      <c r="L12" s="17">
        <v>8.5890864578324302E-2</v>
      </c>
      <c r="M12" s="17"/>
      <c r="N12" s="17">
        <v>4.3865680163837399E-2</v>
      </c>
      <c r="O12" s="17">
        <v>8.1013052060062304E-2</v>
      </c>
      <c r="P12" s="17">
        <v>7.2011112906096506E-2</v>
      </c>
      <c r="Q12" s="17">
        <v>5.3656249219497597E-2</v>
      </c>
      <c r="R12" s="17">
        <v>7.2861762831475205E-2</v>
      </c>
      <c r="S12" s="17">
        <v>3.3521593918321498E-2</v>
      </c>
      <c r="T12" s="17">
        <v>0.10279426048166</v>
      </c>
      <c r="U12" s="17">
        <v>5.23337824035945E-2</v>
      </c>
      <c r="V12" s="17">
        <v>7.5479154572669904E-2</v>
      </c>
      <c r="W12" s="17"/>
      <c r="X12" s="17">
        <v>5.05983226107466E-2</v>
      </c>
      <c r="Y12" s="17">
        <v>7.3020335190848204E-2</v>
      </c>
    </row>
    <row r="13" spans="2:25" x14ac:dyDescent="0.35">
      <c r="B13" s="18" t="s">
        <v>89</v>
      </c>
      <c r="C13" s="17">
        <v>8.9296368844201598E-2</v>
      </c>
      <c r="D13" s="17">
        <v>6.6239025156283396E-2</v>
      </c>
      <c r="E13" s="17">
        <v>0.111359877348714</v>
      </c>
      <c r="F13" s="17"/>
      <c r="G13" s="17">
        <v>2.99667307565708E-2</v>
      </c>
      <c r="H13" s="17">
        <v>4.36059559746673E-2</v>
      </c>
      <c r="I13" s="17">
        <v>5.1227217295507499E-2</v>
      </c>
      <c r="J13" s="17">
        <v>7.4388458713535999E-2</v>
      </c>
      <c r="K13" s="17">
        <v>0.126123528708115</v>
      </c>
      <c r="L13" s="17">
        <v>0.14879025241414501</v>
      </c>
      <c r="M13" s="17"/>
      <c r="N13" s="17">
        <v>3.6539280332495899E-2</v>
      </c>
      <c r="O13" s="17">
        <v>3.8224240032095902E-2</v>
      </c>
      <c r="P13" s="17">
        <v>0.121694774974415</v>
      </c>
      <c r="Q13" s="17">
        <v>8.9059199838233002E-2</v>
      </c>
      <c r="R13" s="17">
        <v>6.8719067498530198E-2</v>
      </c>
      <c r="S13" s="17">
        <v>7.2967294990713999E-2</v>
      </c>
      <c r="T13" s="17">
        <v>0.11140330660377</v>
      </c>
      <c r="U13" s="17">
        <v>6.4341614608546496E-2</v>
      </c>
      <c r="V13" s="17">
        <v>0.16074916690146801</v>
      </c>
      <c r="W13" s="17"/>
      <c r="X13" s="17">
        <v>6.2307204246418203E-2</v>
      </c>
      <c r="Y13" s="17">
        <v>0.10423126909463699</v>
      </c>
    </row>
    <row r="14" spans="2:25" x14ac:dyDescent="0.35">
      <c r="B14" s="18" t="s">
        <v>69</v>
      </c>
      <c r="C14" s="17">
        <v>0.14145062587003299</v>
      </c>
      <c r="D14" s="17">
        <v>0.104770209504158</v>
      </c>
      <c r="E14" s="17">
        <v>0.17623318205535901</v>
      </c>
      <c r="F14" s="17"/>
      <c r="G14" s="17">
        <v>7.0415966961845697E-2</v>
      </c>
      <c r="H14" s="17">
        <v>5.2234957314754298E-2</v>
      </c>
      <c r="I14" s="17">
        <v>0.104961432290367</v>
      </c>
      <c r="J14" s="17">
        <v>0.13293613043473901</v>
      </c>
      <c r="K14" s="17">
        <v>0.174007121598616</v>
      </c>
      <c r="L14" s="17">
        <v>0.228495425693826</v>
      </c>
      <c r="M14" s="17"/>
      <c r="N14" s="17">
        <v>9.2571703997807106E-2</v>
      </c>
      <c r="O14" s="17">
        <v>6.3977610875008098E-2</v>
      </c>
      <c r="P14" s="17">
        <v>0.172424707666922</v>
      </c>
      <c r="Q14" s="17">
        <v>7.7400019396402203E-2</v>
      </c>
      <c r="R14" s="17">
        <v>0.13953745489303501</v>
      </c>
      <c r="S14" s="17">
        <v>0.135463385405518</v>
      </c>
      <c r="T14" s="17">
        <v>0.12769756955985201</v>
      </c>
      <c r="U14" s="17">
        <v>0.232214955781958</v>
      </c>
      <c r="V14" s="17">
        <v>0.11442810057748</v>
      </c>
      <c r="W14" s="17"/>
      <c r="X14" s="17">
        <v>8.9238087314172598E-2</v>
      </c>
      <c r="Y14" s="17">
        <v>0.17034329693914099</v>
      </c>
    </row>
    <row r="15" spans="2:25" x14ac:dyDescent="0.35">
      <c r="B15" s="18" t="s">
        <v>90</v>
      </c>
      <c r="C15" s="21">
        <v>0.54304731705264198</v>
      </c>
      <c r="D15" s="21">
        <v>0.61141611651322902</v>
      </c>
      <c r="E15" s="21">
        <v>0.47783367260663601</v>
      </c>
      <c r="F15" s="21"/>
      <c r="G15" s="21">
        <v>0.67460994587262002</v>
      </c>
      <c r="H15" s="21">
        <v>0.70257891371453496</v>
      </c>
      <c r="I15" s="21">
        <v>0.60496628455280199</v>
      </c>
      <c r="J15" s="21">
        <v>0.57066438764452998</v>
      </c>
      <c r="K15" s="21">
        <v>0.48917902116797002</v>
      </c>
      <c r="L15" s="21">
        <v>0.37651337453258299</v>
      </c>
      <c r="M15" s="21"/>
      <c r="N15" s="21">
        <v>0.71132068801523396</v>
      </c>
      <c r="O15" s="21">
        <v>0.71020802360452695</v>
      </c>
      <c r="P15" s="21">
        <v>0.44679056088845898</v>
      </c>
      <c r="Q15" s="21">
        <v>0.65545102034427005</v>
      </c>
      <c r="R15" s="21">
        <v>0.54325846804952405</v>
      </c>
      <c r="S15" s="21">
        <v>0.65682332773330898</v>
      </c>
      <c r="T15" s="21">
        <v>0.47778034595719199</v>
      </c>
      <c r="U15" s="21">
        <v>0.42644603471568099</v>
      </c>
      <c r="V15" s="21">
        <v>0.50358550422302695</v>
      </c>
      <c r="W15" s="21"/>
      <c r="X15" s="21">
        <v>0.65574891508691902</v>
      </c>
      <c r="Y15" s="21">
        <v>0.48068202528496701</v>
      </c>
    </row>
    <row r="16" spans="2:25" x14ac:dyDescent="0.35">
      <c r="B16" s="18" t="s">
        <v>91</v>
      </c>
      <c r="C16" s="21">
        <v>0.15432915505786499</v>
      </c>
      <c r="D16" s="21">
        <v>0.12291270810680099</v>
      </c>
      <c r="E16" s="21">
        <v>0.184522151234256</v>
      </c>
      <c r="F16" s="21"/>
      <c r="G16" s="21">
        <v>7.6616931206918898E-2</v>
      </c>
      <c r="H16" s="21">
        <v>8.8523038731169498E-2</v>
      </c>
      <c r="I16" s="21">
        <v>0.118277610925378</v>
      </c>
      <c r="J16" s="21">
        <v>0.142709055970449</v>
      </c>
      <c r="K16" s="21">
        <v>0.18257287568865399</v>
      </c>
      <c r="L16" s="21">
        <v>0.23468111699246899</v>
      </c>
      <c r="M16" s="21"/>
      <c r="N16" s="21">
        <v>8.0404960496333305E-2</v>
      </c>
      <c r="O16" s="21">
        <v>0.119237292092158</v>
      </c>
      <c r="P16" s="21">
        <v>0.19370588788051099</v>
      </c>
      <c r="Q16" s="21">
        <v>0.14271544905773101</v>
      </c>
      <c r="R16" s="21">
        <v>0.14158083033000499</v>
      </c>
      <c r="S16" s="21">
        <v>0.106488888909036</v>
      </c>
      <c r="T16" s="21">
        <v>0.21419756708543</v>
      </c>
      <c r="U16" s="21">
        <v>0.116675397012141</v>
      </c>
      <c r="V16" s="21">
        <v>0.236228321474138</v>
      </c>
      <c r="W16" s="21"/>
      <c r="X16" s="21">
        <v>0.112905526857165</v>
      </c>
      <c r="Y16" s="21">
        <v>0.177251604285485</v>
      </c>
    </row>
    <row r="17" spans="2:25" x14ac:dyDescent="0.35">
      <c r="B17" s="18" t="s">
        <v>92</v>
      </c>
      <c r="C17" s="22">
        <v>0.38871816199477699</v>
      </c>
      <c r="D17" s="22">
        <v>0.48850340840642897</v>
      </c>
      <c r="E17" s="22">
        <v>0.29331152137237998</v>
      </c>
      <c r="F17" s="22"/>
      <c r="G17" s="22">
        <v>0.59799301466570098</v>
      </c>
      <c r="H17" s="22">
        <v>0.614055874983365</v>
      </c>
      <c r="I17" s="22">
        <v>0.48668867362742402</v>
      </c>
      <c r="J17" s="22">
        <v>0.42795533167408101</v>
      </c>
      <c r="K17" s="22">
        <v>0.30660614547931597</v>
      </c>
      <c r="L17" s="22">
        <v>0.141832257540114</v>
      </c>
      <c r="M17" s="22"/>
      <c r="N17" s="22">
        <v>0.63091572751890002</v>
      </c>
      <c r="O17" s="22">
        <v>0.59097073151236901</v>
      </c>
      <c r="P17" s="22">
        <v>0.25308467300794801</v>
      </c>
      <c r="Q17" s="22">
        <v>0.51273557128654002</v>
      </c>
      <c r="R17" s="22">
        <v>0.40167763771951898</v>
      </c>
      <c r="S17" s="22">
        <v>0.55033443882427302</v>
      </c>
      <c r="T17" s="22">
        <v>0.26358277887176201</v>
      </c>
      <c r="U17" s="22">
        <v>0.30977063770354002</v>
      </c>
      <c r="V17" s="22">
        <v>0.26735718274888998</v>
      </c>
      <c r="W17" s="22"/>
      <c r="X17" s="22">
        <v>0.54284338822975398</v>
      </c>
      <c r="Y17" s="22">
        <v>0.30343042099948198</v>
      </c>
    </row>
    <row r="18" spans="2:25" x14ac:dyDescent="0.35">
      <c r="B18" s="16"/>
    </row>
    <row r="19" spans="2:25" x14ac:dyDescent="0.35">
      <c r="B19" t="s">
        <v>51</v>
      </c>
    </row>
    <row r="20" spans="2:25" x14ac:dyDescent="0.35">
      <c r="B20" t="s">
        <v>52</v>
      </c>
    </row>
    <row r="22" spans="2:25" x14ac:dyDescent="0.35">
      <c r="B22" s="8" t="str">
        <f>HYPERLINK("#'Contents'!A1", "Return to Contents")</f>
        <v>Return to Contents</v>
      </c>
    </row>
  </sheetData>
  <mergeCells count="5">
    <mergeCell ref="D5:E5"/>
    <mergeCell ref="G5:L5"/>
    <mergeCell ref="N5:V5"/>
    <mergeCell ref="X5:Y5"/>
    <mergeCell ref="D2:W2"/>
  </mergeCells>
  <pageMargins left="0.7" right="0.7" top="0.75" bottom="0.75" header="0.3" footer="0.3"/>
  <pageSetup paperSize="9" orientation="portrait" horizontalDpi="300" verticalDpi="300"/>
  <drawing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B2:Y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s>
  <sheetData>
    <row r="2" spans="2:25" ht="40" customHeight="1" x14ac:dyDescent="0.35">
      <c r="D2" s="30" t="s">
        <v>198</v>
      </c>
      <c r="E2" s="26"/>
      <c r="F2" s="26"/>
      <c r="G2" s="26"/>
      <c r="H2" s="26"/>
      <c r="I2" s="26"/>
      <c r="J2" s="26"/>
      <c r="K2" s="26"/>
      <c r="L2" s="26"/>
      <c r="M2" s="26"/>
      <c r="N2" s="26"/>
      <c r="O2" s="26"/>
      <c r="P2" s="26"/>
      <c r="Q2" s="26"/>
      <c r="R2" s="26"/>
      <c r="S2" s="26"/>
      <c r="T2" s="26"/>
      <c r="U2" s="26"/>
      <c r="V2" s="26"/>
      <c r="W2" s="26"/>
    </row>
    <row r="5" spans="2:25" ht="30" customHeight="1" x14ac:dyDescent="0.35">
      <c r="B5" s="15"/>
      <c r="C5" s="15"/>
      <c r="D5" s="29" t="s">
        <v>38</v>
      </c>
      <c r="E5" s="29"/>
      <c r="F5" s="15"/>
      <c r="G5" s="29" t="s">
        <v>39</v>
      </c>
      <c r="H5" s="29"/>
      <c r="I5" s="29"/>
      <c r="J5" s="29"/>
      <c r="K5" s="29"/>
      <c r="L5" s="29"/>
      <c r="M5" s="15"/>
      <c r="N5" s="29" t="s">
        <v>40</v>
      </c>
      <c r="O5" s="29"/>
      <c r="P5" s="29"/>
      <c r="Q5" s="29"/>
      <c r="R5" s="29"/>
      <c r="S5" s="29"/>
      <c r="T5" s="29"/>
      <c r="U5" s="29"/>
      <c r="V5" s="29"/>
      <c r="W5" s="15"/>
      <c r="X5" s="29" t="s">
        <v>41</v>
      </c>
      <c r="Y5" s="29"/>
    </row>
    <row r="6" spans="2:25" ht="29"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row>
    <row r="7" spans="2:25" ht="30" customHeight="1" x14ac:dyDescent="0.35">
      <c r="B7" s="10" t="s">
        <v>19</v>
      </c>
      <c r="C7" s="10">
        <v>6838</v>
      </c>
      <c r="D7" s="10">
        <v>3283</v>
      </c>
      <c r="E7" s="10">
        <v>3541</v>
      </c>
      <c r="F7" s="10"/>
      <c r="G7" s="10">
        <v>635</v>
      </c>
      <c r="H7" s="10">
        <v>1075</v>
      </c>
      <c r="I7" s="10">
        <v>1093</v>
      </c>
      <c r="J7" s="10">
        <v>1228</v>
      </c>
      <c r="K7" s="10">
        <v>1156</v>
      </c>
      <c r="L7" s="10">
        <v>1651</v>
      </c>
      <c r="M7" s="10"/>
      <c r="N7" s="10">
        <v>208</v>
      </c>
      <c r="O7" s="10">
        <v>200</v>
      </c>
      <c r="P7" s="10">
        <v>1002</v>
      </c>
      <c r="Q7" s="10">
        <v>1000</v>
      </c>
      <c r="R7" s="10">
        <v>1004</v>
      </c>
      <c r="S7" s="10">
        <v>1006</v>
      </c>
      <c r="T7" s="10">
        <v>1006</v>
      </c>
      <c r="U7" s="10">
        <v>1007</v>
      </c>
      <c r="V7" s="10">
        <v>405</v>
      </c>
      <c r="W7" s="10"/>
      <c r="X7" s="10">
        <v>2650</v>
      </c>
      <c r="Y7" s="10">
        <v>4188</v>
      </c>
    </row>
    <row r="8" spans="2:25" ht="30" customHeight="1" x14ac:dyDescent="0.35">
      <c r="B8" s="11" t="s">
        <v>20</v>
      </c>
      <c r="C8" s="11">
        <v>6838</v>
      </c>
      <c r="D8" s="11">
        <v>3309</v>
      </c>
      <c r="E8" s="11">
        <v>3515</v>
      </c>
      <c r="F8" s="11"/>
      <c r="G8" s="11">
        <v>645</v>
      </c>
      <c r="H8" s="11">
        <v>1026</v>
      </c>
      <c r="I8" s="11">
        <v>1111</v>
      </c>
      <c r="J8" s="11">
        <v>1184</v>
      </c>
      <c r="K8" s="11">
        <v>1140</v>
      </c>
      <c r="L8" s="11">
        <v>1732</v>
      </c>
      <c r="M8" s="11"/>
      <c r="N8" s="11">
        <v>208</v>
      </c>
      <c r="O8" s="11">
        <v>200</v>
      </c>
      <c r="P8" s="11">
        <v>1002</v>
      </c>
      <c r="Q8" s="11">
        <v>1000</v>
      </c>
      <c r="R8" s="11">
        <v>1004</v>
      </c>
      <c r="S8" s="11">
        <v>1006</v>
      </c>
      <c r="T8" s="11">
        <v>1006</v>
      </c>
      <c r="U8" s="11">
        <v>1007</v>
      </c>
      <c r="V8" s="11">
        <v>405</v>
      </c>
      <c r="W8" s="11"/>
      <c r="X8" s="11">
        <v>2436</v>
      </c>
      <c r="Y8" s="11">
        <v>4402</v>
      </c>
    </row>
    <row r="9" spans="2:25" x14ac:dyDescent="0.35">
      <c r="B9" s="18" t="s">
        <v>85</v>
      </c>
      <c r="C9" s="17">
        <v>0.18821625002527101</v>
      </c>
      <c r="D9" s="17">
        <v>0.21408277930313599</v>
      </c>
      <c r="E9" s="17">
        <v>0.16273879079207201</v>
      </c>
      <c r="F9" s="17"/>
      <c r="G9" s="17">
        <v>0.37076063692711703</v>
      </c>
      <c r="H9" s="17">
        <v>0.27519136182982601</v>
      </c>
      <c r="I9" s="17">
        <v>0.24521313538654099</v>
      </c>
      <c r="J9" s="17">
        <v>0.182658869268397</v>
      </c>
      <c r="K9" s="17">
        <v>0.13409712022838099</v>
      </c>
      <c r="L9" s="17">
        <v>7.1654077388050894E-2</v>
      </c>
      <c r="M9" s="17"/>
      <c r="N9" s="17">
        <v>0.185429663309232</v>
      </c>
      <c r="O9" s="17">
        <v>0.13628348236321799</v>
      </c>
      <c r="P9" s="17">
        <v>0.15804096757467501</v>
      </c>
      <c r="Q9" s="17">
        <v>0.204203286151591</v>
      </c>
      <c r="R9" s="17">
        <v>0.15087588384265899</v>
      </c>
      <c r="S9" s="17">
        <v>0.16988711601119599</v>
      </c>
      <c r="T9" s="17">
        <v>0.24015487558302301</v>
      </c>
      <c r="U9" s="17">
        <v>0.220492121886711</v>
      </c>
      <c r="V9" s="17">
        <v>0.17930646397208</v>
      </c>
      <c r="W9" s="17"/>
      <c r="X9" s="17">
        <v>0.22656104485547601</v>
      </c>
      <c r="Y9" s="17">
        <v>0.166997524123709</v>
      </c>
    </row>
    <row r="10" spans="2:25" x14ac:dyDescent="0.35">
      <c r="B10" s="18" t="s">
        <v>86</v>
      </c>
      <c r="C10" s="17">
        <v>0.24274434628401201</v>
      </c>
      <c r="D10" s="17">
        <v>0.26833722300361001</v>
      </c>
      <c r="E10" s="17">
        <v>0.219054316480014</v>
      </c>
      <c r="F10" s="17"/>
      <c r="G10" s="17">
        <v>0.315923048239106</v>
      </c>
      <c r="H10" s="17">
        <v>0.33057830411022399</v>
      </c>
      <c r="I10" s="17">
        <v>0.30654825167587002</v>
      </c>
      <c r="J10" s="17">
        <v>0.247679914386533</v>
      </c>
      <c r="K10" s="17">
        <v>0.19439132253100999</v>
      </c>
      <c r="L10" s="17">
        <v>0.15104174204449899</v>
      </c>
      <c r="M10" s="17"/>
      <c r="N10" s="17">
        <v>0.25640667321991101</v>
      </c>
      <c r="O10" s="17">
        <v>0.19455935931479501</v>
      </c>
      <c r="P10" s="17">
        <v>0.18032813672589901</v>
      </c>
      <c r="Q10" s="17">
        <v>0.22651685159214399</v>
      </c>
      <c r="R10" s="17">
        <v>0.28402345395508299</v>
      </c>
      <c r="S10" s="17">
        <v>0.20570633255389401</v>
      </c>
      <c r="T10" s="17">
        <v>0.271489746466194</v>
      </c>
      <c r="U10" s="17">
        <v>0.317372870512385</v>
      </c>
      <c r="V10" s="17">
        <v>0.18672210255504901</v>
      </c>
      <c r="W10" s="17"/>
      <c r="X10" s="17">
        <v>0.26079140720062599</v>
      </c>
      <c r="Y10" s="17">
        <v>0.232757706881868</v>
      </c>
    </row>
    <row r="11" spans="2:25" ht="29" x14ac:dyDescent="0.35">
      <c r="B11" s="18" t="s">
        <v>181</v>
      </c>
      <c r="C11" s="17">
        <v>0.206136672853314</v>
      </c>
      <c r="D11" s="17">
        <v>0.212146756571299</v>
      </c>
      <c r="E11" s="17">
        <v>0.20034663211675299</v>
      </c>
      <c r="F11" s="17"/>
      <c r="G11" s="17">
        <v>0.16404130900126501</v>
      </c>
      <c r="H11" s="17">
        <v>0.21990054106743101</v>
      </c>
      <c r="I11" s="17">
        <v>0.20386350092452901</v>
      </c>
      <c r="J11" s="17">
        <v>0.22456779204756999</v>
      </c>
      <c r="K11" s="17">
        <v>0.215222947618702</v>
      </c>
      <c r="L11" s="17">
        <v>0.19653680493831199</v>
      </c>
      <c r="M11" s="17"/>
      <c r="N11" s="17">
        <v>0.19251256832653901</v>
      </c>
      <c r="O11" s="17">
        <v>0.26861450130137998</v>
      </c>
      <c r="P11" s="17">
        <v>0.182301117291259</v>
      </c>
      <c r="Q11" s="17">
        <v>0.20082740088756901</v>
      </c>
      <c r="R11" s="17">
        <v>0.24008214799528299</v>
      </c>
      <c r="S11" s="17">
        <v>0.185014146001727</v>
      </c>
      <c r="T11" s="17">
        <v>0.22551074175406199</v>
      </c>
      <c r="U11" s="17">
        <v>0.20633375537394499</v>
      </c>
      <c r="V11" s="17">
        <v>0.17406254013383499</v>
      </c>
      <c r="W11" s="17"/>
      <c r="X11" s="17">
        <v>0.20062141810902201</v>
      </c>
      <c r="Y11" s="17">
        <v>0.20918863021061901</v>
      </c>
    </row>
    <row r="12" spans="2:25" x14ac:dyDescent="0.35">
      <c r="B12" s="18" t="s">
        <v>88</v>
      </c>
      <c r="C12" s="17">
        <v>0.12564921982761901</v>
      </c>
      <c r="D12" s="17">
        <v>0.119151919784971</v>
      </c>
      <c r="E12" s="17">
        <v>0.13226855609216201</v>
      </c>
      <c r="F12" s="17"/>
      <c r="G12" s="17">
        <v>9.5849359910271395E-2</v>
      </c>
      <c r="H12" s="17">
        <v>0.10883685953363501</v>
      </c>
      <c r="I12" s="17">
        <v>0.11792411277411199</v>
      </c>
      <c r="J12" s="17">
        <v>0.12506357030637499</v>
      </c>
      <c r="K12" s="17">
        <v>0.123421552150782</v>
      </c>
      <c r="L12" s="17">
        <v>0.15351359340451901</v>
      </c>
      <c r="M12" s="17"/>
      <c r="N12" s="17">
        <v>0.14425549641952401</v>
      </c>
      <c r="O12" s="17">
        <v>0.17232612377480699</v>
      </c>
      <c r="P12" s="17">
        <v>0.13986871092943901</v>
      </c>
      <c r="Q12" s="17">
        <v>0.15015140604501701</v>
      </c>
      <c r="R12" s="17">
        <v>0.11935707798195801</v>
      </c>
      <c r="S12" s="17">
        <v>0.12726005301014201</v>
      </c>
      <c r="T12" s="17">
        <v>0.113486509725651</v>
      </c>
      <c r="U12" s="17">
        <v>7.9784025368664704E-2</v>
      </c>
      <c r="V12" s="17">
        <v>0.15321254524045599</v>
      </c>
      <c r="W12" s="17"/>
      <c r="X12" s="17">
        <v>0.128335750225442</v>
      </c>
      <c r="Y12" s="17">
        <v>0.12416258383464999</v>
      </c>
    </row>
    <row r="13" spans="2:25" x14ac:dyDescent="0.35">
      <c r="B13" s="18" t="s">
        <v>89</v>
      </c>
      <c r="C13" s="17">
        <v>0.148190125610933</v>
      </c>
      <c r="D13" s="17">
        <v>0.119578736911471</v>
      </c>
      <c r="E13" s="17">
        <v>0.175435880244764</v>
      </c>
      <c r="F13" s="17"/>
      <c r="G13" s="17">
        <v>3.4389712119720001E-2</v>
      </c>
      <c r="H13" s="17">
        <v>4.0172739921622902E-2</v>
      </c>
      <c r="I13" s="17">
        <v>7.2895697062872106E-2</v>
      </c>
      <c r="J13" s="17">
        <v>0.138227249410668</v>
      </c>
      <c r="K13" s="17">
        <v>0.216530814054432</v>
      </c>
      <c r="L13" s="17">
        <v>0.26460801763084602</v>
      </c>
      <c r="M13" s="17"/>
      <c r="N13" s="17">
        <v>0.13640761798699599</v>
      </c>
      <c r="O13" s="17">
        <v>0.174889859956321</v>
      </c>
      <c r="P13" s="17">
        <v>0.22098533006881399</v>
      </c>
      <c r="Q13" s="17">
        <v>0.15929711773765001</v>
      </c>
      <c r="R13" s="17">
        <v>0.118979593070498</v>
      </c>
      <c r="S13" s="17">
        <v>0.20005728392234701</v>
      </c>
      <c r="T13" s="17">
        <v>8.3226661732058199E-2</v>
      </c>
      <c r="U13" s="17">
        <v>6.53153444906764E-2</v>
      </c>
      <c r="V13" s="17">
        <v>0.244536274704139</v>
      </c>
      <c r="W13" s="17"/>
      <c r="X13" s="17">
        <v>0.12867031141600799</v>
      </c>
      <c r="Y13" s="17">
        <v>0.15899173737820399</v>
      </c>
    </row>
    <row r="14" spans="2:25" x14ac:dyDescent="0.35">
      <c r="B14" s="18" t="s">
        <v>69</v>
      </c>
      <c r="C14" s="17">
        <v>8.90633853988511E-2</v>
      </c>
      <c r="D14" s="17">
        <v>6.6702584425512204E-2</v>
      </c>
      <c r="E14" s="17">
        <v>0.110155824274235</v>
      </c>
      <c r="F14" s="17"/>
      <c r="G14" s="17">
        <v>1.9035933802520399E-2</v>
      </c>
      <c r="H14" s="17">
        <v>2.5320193537260598E-2</v>
      </c>
      <c r="I14" s="17">
        <v>5.3555302176076201E-2</v>
      </c>
      <c r="J14" s="17">
        <v>8.18026045804571E-2</v>
      </c>
      <c r="K14" s="17">
        <v>0.11633624341669301</v>
      </c>
      <c r="L14" s="17">
        <v>0.162645764593773</v>
      </c>
      <c r="M14" s="17"/>
      <c r="N14" s="17">
        <v>8.4987980737798202E-2</v>
      </c>
      <c r="O14" s="17">
        <v>5.33266732894793E-2</v>
      </c>
      <c r="P14" s="17">
        <v>0.118475737409913</v>
      </c>
      <c r="Q14" s="17">
        <v>5.90039375860298E-2</v>
      </c>
      <c r="R14" s="17">
        <v>8.6681843154518906E-2</v>
      </c>
      <c r="S14" s="17">
        <v>0.112075068500695</v>
      </c>
      <c r="T14" s="17">
        <v>6.6131464739012796E-2</v>
      </c>
      <c r="U14" s="17">
        <v>0.11070188236761699</v>
      </c>
      <c r="V14" s="17">
        <v>6.2160073394441497E-2</v>
      </c>
      <c r="W14" s="17"/>
      <c r="X14" s="17">
        <v>5.5020068193426599E-2</v>
      </c>
      <c r="Y14" s="17">
        <v>0.10790181757094899</v>
      </c>
    </row>
    <row r="15" spans="2:25" x14ac:dyDescent="0.35">
      <c r="B15" s="18" t="s">
        <v>90</v>
      </c>
      <c r="C15" s="21">
        <v>0.43096059630928302</v>
      </c>
      <c r="D15" s="21">
        <v>0.48242000230674598</v>
      </c>
      <c r="E15" s="21">
        <v>0.38179310727208599</v>
      </c>
      <c r="F15" s="21"/>
      <c r="G15" s="21">
        <v>0.68668368516622302</v>
      </c>
      <c r="H15" s="21">
        <v>0.60576966594005</v>
      </c>
      <c r="I15" s="21">
        <v>0.55176138706241096</v>
      </c>
      <c r="J15" s="21">
        <v>0.430338783654929</v>
      </c>
      <c r="K15" s="21">
        <v>0.32848844275939199</v>
      </c>
      <c r="L15" s="21">
        <v>0.22269581943255001</v>
      </c>
      <c r="M15" s="21"/>
      <c r="N15" s="21">
        <v>0.441836336529142</v>
      </c>
      <c r="O15" s="21">
        <v>0.33084284167801298</v>
      </c>
      <c r="P15" s="21">
        <v>0.33836910430057399</v>
      </c>
      <c r="Q15" s="21">
        <v>0.43072013774373402</v>
      </c>
      <c r="R15" s="21">
        <v>0.43489933779774198</v>
      </c>
      <c r="S15" s="21">
        <v>0.37559344856508903</v>
      </c>
      <c r="T15" s="21">
        <v>0.51164462204921601</v>
      </c>
      <c r="U15" s="21">
        <v>0.53786499239909602</v>
      </c>
      <c r="V15" s="21">
        <v>0.36602856652712901</v>
      </c>
      <c r="W15" s="21"/>
      <c r="X15" s="21">
        <v>0.487352452056102</v>
      </c>
      <c r="Y15" s="21">
        <v>0.39975523100557703</v>
      </c>
    </row>
    <row r="16" spans="2:25" x14ac:dyDescent="0.35">
      <c r="B16" s="18" t="s">
        <v>91</v>
      </c>
      <c r="C16" s="21">
        <v>0.27383934543855198</v>
      </c>
      <c r="D16" s="21">
        <v>0.238730656696442</v>
      </c>
      <c r="E16" s="21">
        <v>0.30770443633692601</v>
      </c>
      <c r="F16" s="21"/>
      <c r="G16" s="21">
        <v>0.13023907202999099</v>
      </c>
      <c r="H16" s="21">
        <v>0.14900959945525799</v>
      </c>
      <c r="I16" s="21">
        <v>0.19081980983698399</v>
      </c>
      <c r="J16" s="21">
        <v>0.26329081971704299</v>
      </c>
      <c r="K16" s="21">
        <v>0.33995236620521402</v>
      </c>
      <c r="L16" s="21">
        <v>0.41812161103536399</v>
      </c>
      <c r="M16" s="21"/>
      <c r="N16" s="21">
        <v>0.28066311440651998</v>
      </c>
      <c r="O16" s="21">
        <v>0.347215983731128</v>
      </c>
      <c r="P16" s="21">
        <v>0.36085404099825302</v>
      </c>
      <c r="Q16" s="21">
        <v>0.30944852378266702</v>
      </c>
      <c r="R16" s="21">
        <v>0.23833667105245601</v>
      </c>
      <c r="S16" s="21">
        <v>0.32731733693248899</v>
      </c>
      <c r="T16" s="21">
        <v>0.196713171457709</v>
      </c>
      <c r="U16" s="21">
        <v>0.14509936985934099</v>
      </c>
      <c r="V16" s="21">
        <v>0.39774881994459499</v>
      </c>
      <c r="W16" s="21"/>
      <c r="X16" s="21">
        <v>0.25700606164144901</v>
      </c>
      <c r="Y16" s="21">
        <v>0.283154321212854</v>
      </c>
    </row>
    <row r="17" spans="2:25" x14ac:dyDescent="0.35">
      <c r="B17" s="18" t="s">
        <v>92</v>
      </c>
      <c r="C17" s="22">
        <v>0.15712125087073001</v>
      </c>
      <c r="D17" s="22">
        <v>0.243689345610304</v>
      </c>
      <c r="E17" s="22">
        <v>7.4088670935159306E-2</v>
      </c>
      <c r="F17" s="22"/>
      <c r="G17" s="22">
        <v>0.55644461313623195</v>
      </c>
      <c r="H17" s="22">
        <v>0.456760066484792</v>
      </c>
      <c r="I17" s="22">
        <v>0.36094157722542702</v>
      </c>
      <c r="J17" s="22">
        <v>0.16704796393788601</v>
      </c>
      <c r="K17" s="22">
        <v>-1.1463923445822E-2</v>
      </c>
      <c r="L17" s="22">
        <v>-0.19542579160281401</v>
      </c>
      <c r="M17" s="22"/>
      <c r="N17" s="22">
        <v>0.161173222122622</v>
      </c>
      <c r="O17" s="22">
        <v>-1.63731420531146E-2</v>
      </c>
      <c r="P17" s="22">
        <v>-2.2484936697679401E-2</v>
      </c>
      <c r="Q17" s="22">
        <v>0.121271613961067</v>
      </c>
      <c r="R17" s="22">
        <v>0.196562666745286</v>
      </c>
      <c r="S17" s="22">
        <v>4.8276111632600899E-2</v>
      </c>
      <c r="T17" s="22">
        <v>0.31493145059150801</v>
      </c>
      <c r="U17" s="22">
        <v>0.392765622539755</v>
      </c>
      <c r="V17" s="22">
        <v>-3.1720253417465802E-2</v>
      </c>
      <c r="W17" s="22"/>
      <c r="X17" s="22">
        <v>0.23034639041465299</v>
      </c>
      <c r="Y17" s="22">
        <v>0.116600909792723</v>
      </c>
    </row>
    <row r="18" spans="2:25" x14ac:dyDescent="0.35">
      <c r="B18" s="16"/>
    </row>
    <row r="19" spans="2:25" x14ac:dyDescent="0.35">
      <c r="B19" t="s">
        <v>51</v>
      </c>
    </row>
    <row r="20" spans="2:25" x14ac:dyDescent="0.35">
      <c r="B20" t="s">
        <v>52</v>
      </c>
    </row>
    <row r="22" spans="2:25" x14ac:dyDescent="0.35">
      <c r="B22" s="8" t="str">
        <f>HYPERLINK("#'Contents'!A1", "Return to Contents")</f>
        <v>Return to Contents</v>
      </c>
    </row>
  </sheetData>
  <mergeCells count="5">
    <mergeCell ref="D5:E5"/>
    <mergeCell ref="G5:L5"/>
    <mergeCell ref="N5:V5"/>
    <mergeCell ref="X5:Y5"/>
    <mergeCell ref="D2:W2"/>
  </mergeCells>
  <pageMargins left="0.7" right="0.7" top="0.75" bottom="0.75" header="0.3" footer="0.3"/>
  <pageSetup paperSize="9" orientation="portrait" horizontalDpi="300" verticalDpi="300"/>
  <drawing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B2:Y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s>
  <sheetData>
    <row r="2" spans="2:25" ht="40" customHeight="1" x14ac:dyDescent="0.35">
      <c r="D2" s="30" t="s">
        <v>199</v>
      </c>
      <c r="E2" s="26"/>
      <c r="F2" s="26"/>
      <c r="G2" s="26"/>
      <c r="H2" s="26"/>
      <c r="I2" s="26"/>
      <c r="J2" s="26"/>
      <c r="K2" s="26"/>
      <c r="L2" s="26"/>
      <c r="M2" s="26"/>
      <c r="N2" s="26"/>
      <c r="O2" s="26"/>
      <c r="P2" s="26"/>
      <c r="Q2" s="26"/>
      <c r="R2" s="26"/>
      <c r="S2" s="26"/>
      <c r="T2" s="26"/>
      <c r="U2" s="26"/>
      <c r="V2" s="26"/>
      <c r="W2" s="26"/>
    </row>
    <row r="5" spans="2:25" ht="30" customHeight="1" x14ac:dyDescent="0.35">
      <c r="B5" s="15"/>
      <c r="C5" s="15"/>
      <c r="D5" s="29" t="s">
        <v>38</v>
      </c>
      <c r="E5" s="29"/>
      <c r="F5" s="15"/>
      <c r="G5" s="29" t="s">
        <v>39</v>
      </c>
      <c r="H5" s="29"/>
      <c r="I5" s="29"/>
      <c r="J5" s="29"/>
      <c r="K5" s="29"/>
      <c r="L5" s="29"/>
      <c r="M5" s="15"/>
      <c r="N5" s="29" t="s">
        <v>40</v>
      </c>
      <c r="O5" s="29"/>
      <c r="P5" s="29"/>
      <c r="Q5" s="29"/>
      <c r="R5" s="29"/>
      <c r="S5" s="29"/>
      <c r="T5" s="29"/>
      <c r="U5" s="29"/>
      <c r="V5" s="29"/>
      <c r="W5" s="15"/>
      <c r="X5" s="29" t="s">
        <v>41</v>
      </c>
      <c r="Y5" s="29"/>
    </row>
    <row r="6" spans="2:25" ht="29"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row>
    <row r="7" spans="2:25" ht="30" customHeight="1" x14ac:dyDescent="0.35">
      <c r="B7" s="10" t="s">
        <v>19</v>
      </c>
      <c r="C7" s="10">
        <v>6838</v>
      </c>
      <c r="D7" s="10">
        <v>3283</v>
      </c>
      <c r="E7" s="10">
        <v>3541</v>
      </c>
      <c r="F7" s="10"/>
      <c r="G7" s="10">
        <v>635</v>
      </c>
      <c r="H7" s="10">
        <v>1075</v>
      </c>
      <c r="I7" s="10">
        <v>1093</v>
      </c>
      <c r="J7" s="10">
        <v>1228</v>
      </c>
      <c r="K7" s="10">
        <v>1156</v>
      </c>
      <c r="L7" s="10">
        <v>1651</v>
      </c>
      <c r="M7" s="10"/>
      <c r="N7" s="10">
        <v>208</v>
      </c>
      <c r="O7" s="10">
        <v>200</v>
      </c>
      <c r="P7" s="10">
        <v>1002</v>
      </c>
      <c r="Q7" s="10">
        <v>1000</v>
      </c>
      <c r="R7" s="10">
        <v>1004</v>
      </c>
      <c r="S7" s="10">
        <v>1006</v>
      </c>
      <c r="T7" s="10">
        <v>1006</v>
      </c>
      <c r="U7" s="10">
        <v>1007</v>
      </c>
      <c r="V7" s="10">
        <v>405</v>
      </c>
      <c r="W7" s="10"/>
      <c r="X7" s="10">
        <v>2650</v>
      </c>
      <c r="Y7" s="10">
        <v>4188</v>
      </c>
    </row>
    <row r="8" spans="2:25" ht="30" customHeight="1" x14ac:dyDescent="0.35">
      <c r="B8" s="11" t="s">
        <v>20</v>
      </c>
      <c r="C8" s="11">
        <v>6838</v>
      </c>
      <c r="D8" s="11">
        <v>3309</v>
      </c>
      <c r="E8" s="11">
        <v>3515</v>
      </c>
      <c r="F8" s="11"/>
      <c r="G8" s="11">
        <v>645</v>
      </c>
      <c r="H8" s="11">
        <v>1026</v>
      </c>
      <c r="I8" s="11">
        <v>1111</v>
      </c>
      <c r="J8" s="11">
        <v>1184</v>
      </c>
      <c r="K8" s="11">
        <v>1140</v>
      </c>
      <c r="L8" s="11">
        <v>1732</v>
      </c>
      <c r="M8" s="11"/>
      <c r="N8" s="11">
        <v>208</v>
      </c>
      <c r="O8" s="11">
        <v>200</v>
      </c>
      <c r="P8" s="11">
        <v>1002</v>
      </c>
      <c r="Q8" s="11">
        <v>1000</v>
      </c>
      <c r="R8" s="11">
        <v>1004</v>
      </c>
      <c r="S8" s="11">
        <v>1006</v>
      </c>
      <c r="T8" s="11">
        <v>1006</v>
      </c>
      <c r="U8" s="11">
        <v>1007</v>
      </c>
      <c r="V8" s="11">
        <v>405</v>
      </c>
      <c r="W8" s="11"/>
      <c r="X8" s="11">
        <v>2436</v>
      </c>
      <c r="Y8" s="11">
        <v>4402</v>
      </c>
    </row>
    <row r="9" spans="2:25" x14ac:dyDescent="0.35">
      <c r="B9" s="18" t="s">
        <v>85</v>
      </c>
      <c r="C9" s="17">
        <v>9.8461760854904504E-2</v>
      </c>
      <c r="D9" s="17">
        <v>0.125806851914395</v>
      </c>
      <c r="E9" s="17">
        <v>7.3113061830849202E-2</v>
      </c>
      <c r="F9" s="17"/>
      <c r="G9" s="17">
        <v>0.132593063611879</v>
      </c>
      <c r="H9" s="17">
        <v>0.16817543877023999</v>
      </c>
      <c r="I9" s="17">
        <v>0.14515201789262999</v>
      </c>
      <c r="J9" s="17">
        <v>9.3614729706706201E-2</v>
      </c>
      <c r="K9" s="17">
        <v>6.7114652247683204E-2</v>
      </c>
      <c r="L9" s="17">
        <v>3.8486354150573797E-2</v>
      </c>
      <c r="M9" s="17"/>
      <c r="N9" s="17">
        <v>7.6378444636940004E-2</v>
      </c>
      <c r="O9" s="17">
        <v>6.4625436364236094E-2</v>
      </c>
      <c r="P9" s="17">
        <v>0.10844011906406401</v>
      </c>
      <c r="Q9" s="17">
        <v>9.8887262016581698E-2</v>
      </c>
      <c r="R9" s="17">
        <v>8.4580187305931795E-2</v>
      </c>
      <c r="S9" s="17">
        <v>8.25601890309971E-2</v>
      </c>
      <c r="T9" s="17">
        <v>0.10290206277856701</v>
      </c>
      <c r="U9" s="17">
        <v>0.12825024413878799</v>
      </c>
      <c r="V9" s="17">
        <v>8.9589941793570396E-2</v>
      </c>
      <c r="W9" s="17"/>
      <c r="X9" s="17">
        <v>0.15247834223429199</v>
      </c>
      <c r="Y9" s="17">
        <v>6.8570792875965098E-2</v>
      </c>
    </row>
    <row r="10" spans="2:25" x14ac:dyDescent="0.35">
      <c r="B10" s="18" t="s">
        <v>86</v>
      </c>
      <c r="C10" s="17">
        <v>0.18644757399484199</v>
      </c>
      <c r="D10" s="17">
        <v>0.21024731276745801</v>
      </c>
      <c r="E10" s="17">
        <v>0.164231456632038</v>
      </c>
      <c r="F10" s="17"/>
      <c r="G10" s="17">
        <v>0.24994988693953599</v>
      </c>
      <c r="H10" s="17">
        <v>0.26324616483146801</v>
      </c>
      <c r="I10" s="17">
        <v>0.22717877909727799</v>
      </c>
      <c r="J10" s="17">
        <v>0.195553835380497</v>
      </c>
      <c r="K10" s="17">
        <v>0.153916287526801</v>
      </c>
      <c r="L10" s="17">
        <v>0.106414610286221</v>
      </c>
      <c r="M10" s="17"/>
      <c r="N10" s="17">
        <v>0.16299782789456899</v>
      </c>
      <c r="O10" s="17">
        <v>0.154137345886565</v>
      </c>
      <c r="P10" s="17">
        <v>0.184972058195983</v>
      </c>
      <c r="Q10" s="17">
        <v>0.16461806559092401</v>
      </c>
      <c r="R10" s="17">
        <v>0.21523281702426</v>
      </c>
      <c r="S10" s="17">
        <v>0.15442337841367501</v>
      </c>
      <c r="T10" s="17">
        <v>0.193962919708767</v>
      </c>
      <c r="U10" s="17">
        <v>0.233283917211729</v>
      </c>
      <c r="V10" s="17">
        <v>0.145062115699508</v>
      </c>
      <c r="W10" s="17"/>
      <c r="X10" s="17">
        <v>0.246635473756877</v>
      </c>
      <c r="Y10" s="17">
        <v>0.15314160500227</v>
      </c>
    </row>
    <row r="11" spans="2:25" ht="29" x14ac:dyDescent="0.35">
      <c r="B11" s="18" t="s">
        <v>181</v>
      </c>
      <c r="C11" s="17">
        <v>0.222510775533732</v>
      </c>
      <c r="D11" s="17">
        <v>0.23961922694504401</v>
      </c>
      <c r="E11" s="17">
        <v>0.20584857816747301</v>
      </c>
      <c r="F11" s="17"/>
      <c r="G11" s="17">
        <v>0.25075531682664798</v>
      </c>
      <c r="H11" s="17">
        <v>0.23607503686113099</v>
      </c>
      <c r="I11" s="17">
        <v>0.254880626087444</v>
      </c>
      <c r="J11" s="17">
        <v>0.25264148400567699</v>
      </c>
      <c r="K11" s="17">
        <v>0.187035528506791</v>
      </c>
      <c r="L11" s="17">
        <v>0.185966802250706</v>
      </c>
      <c r="M11" s="17"/>
      <c r="N11" s="17">
        <v>0.17791387727722299</v>
      </c>
      <c r="O11" s="17">
        <v>0.16073895518319301</v>
      </c>
      <c r="P11" s="17">
        <v>0.21496322670790299</v>
      </c>
      <c r="Q11" s="17">
        <v>0.22713927090344899</v>
      </c>
      <c r="R11" s="17">
        <v>0.23362991010022299</v>
      </c>
      <c r="S11" s="17">
        <v>0.18945272830729101</v>
      </c>
      <c r="T11" s="17">
        <v>0.25119030018194499</v>
      </c>
      <c r="U11" s="17">
        <v>0.24555570538468299</v>
      </c>
      <c r="V11" s="17">
        <v>0.20917646864547901</v>
      </c>
      <c r="W11" s="17"/>
      <c r="X11" s="17">
        <v>0.229686352574824</v>
      </c>
      <c r="Y11" s="17">
        <v>0.21854005139517099</v>
      </c>
    </row>
    <row r="12" spans="2:25" x14ac:dyDescent="0.35">
      <c r="B12" s="18" t="s">
        <v>88</v>
      </c>
      <c r="C12" s="17">
        <v>0.14524360493833099</v>
      </c>
      <c r="D12" s="17">
        <v>0.134002875076254</v>
      </c>
      <c r="E12" s="17">
        <v>0.15577313982341501</v>
      </c>
      <c r="F12" s="17"/>
      <c r="G12" s="17">
        <v>0.18003224237713</v>
      </c>
      <c r="H12" s="17">
        <v>0.14295719587334699</v>
      </c>
      <c r="I12" s="17">
        <v>0.12404828360331401</v>
      </c>
      <c r="J12" s="17">
        <v>0.13295887276864299</v>
      </c>
      <c r="K12" s="17">
        <v>0.15497298643770699</v>
      </c>
      <c r="L12" s="17">
        <v>0.149237134338565</v>
      </c>
      <c r="M12" s="17"/>
      <c r="N12" s="17">
        <v>0.225832264955143</v>
      </c>
      <c r="O12" s="17">
        <v>0.21174268009674499</v>
      </c>
      <c r="P12" s="17">
        <v>0.13812950077743</v>
      </c>
      <c r="Q12" s="17">
        <v>0.16575113858878099</v>
      </c>
      <c r="R12" s="17">
        <v>0.170783903150768</v>
      </c>
      <c r="S12" s="17">
        <v>0.13167868966885801</v>
      </c>
      <c r="T12" s="17">
        <v>0.160581521630943</v>
      </c>
      <c r="U12" s="17">
        <v>7.4746184547626701E-2</v>
      </c>
      <c r="V12" s="17">
        <v>0.145548162716266</v>
      </c>
      <c r="W12" s="17"/>
      <c r="X12" s="17">
        <v>0.124052389685519</v>
      </c>
      <c r="Y12" s="17">
        <v>0.15697011410239101</v>
      </c>
    </row>
    <row r="13" spans="2:25" x14ac:dyDescent="0.35">
      <c r="B13" s="18" t="s">
        <v>89</v>
      </c>
      <c r="C13" s="17">
        <v>0.193929073175582</v>
      </c>
      <c r="D13" s="17">
        <v>0.15858769160209099</v>
      </c>
      <c r="E13" s="17">
        <v>0.226844225178117</v>
      </c>
      <c r="F13" s="17"/>
      <c r="G13" s="17">
        <v>0.105197394183844</v>
      </c>
      <c r="H13" s="17">
        <v>0.12588830759460201</v>
      </c>
      <c r="I13" s="17">
        <v>0.131685608559065</v>
      </c>
      <c r="J13" s="17">
        <v>0.18065022307452699</v>
      </c>
      <c r="K13" s="17">
        <v>0.24477559660463999</v>
      </c>
      <c r="L13" s="17">
        <v>0.28276154839333401</v>
      </c>
      <c r="M13" s="17"/>
      <c r="N13" s="17">
        <v>0.22168481034486801</v>
      </c>
      <c r="O13" s="17">
        <v>0.31763968924456598</v>
      </c>
      <c r="P13" s="17">
        <v>0.20029326418863899</v>
      </c>
      <c r="Q13" s="17">
        <v>0.24806337910287099</v>
      </c>
      <c r="R13" s="17">
        <v>0.135581556701759</v>
      </c>
      <c r="S13" s="17">
        <v>0.237925987139155</v>
      </c>
      <c r="T13" s="17">
        <v>0.181158073859713</v>
      </c>
      <c r="U13" s="17">
        <v>8.2799105607862897E-2</v>
      </c>
      <c r="V13" s="17">
        <v>0.31256850991000301</v>
      </c>
      <c r="W13" s="17"/>
      <c r="X13" s="17">
        <v>0.155822044433925</v>
      </c>
      <c r="Y13" s="17">
        <v>0.215016227282747</v>
      </c>
    </row>
    <row r="14" spans="2:25" x14ac:dyDescent="0.35">
      <c r="B14" s="18" t="s">
        <v>69</v>
      </c>
      <c r="C14" s="17">
        <v>0.15340721150261</v>
      </c>
      <c r="D14" s="17">
        <v>0.131736041694758</v>
      </c>
      <c r="E14" s="17">
        <v>0.17418953836810799</v>
      </c>
      <c r="F14" s="17"/>
      <c r="G14" s="17">
        <v>8.1472096060962798E-2</v>
      </c>
      <c r="H14" s="17">
        <v>6.3657856069212898E-2</v>
      </c>
      <c r="I14" s="17">
        <v>0.11705468476026901</v>
      </c>
      <c r="J14" s="17">
        <v>0.14458085506395099</v>
      </c>
      <c r="K14" s="17">
        <v>0.192184948676377</v>
      </c>
      <c r="L14" s="17">
        <v>0.23713355058060001</v>
      </c>
      <c r="M14" s="17"/>
      <c r="N14" s="17">
        <v>0.135192774891258</v>
      </c>
      <c r="O14" s="17">
        <v>9.1115893224695405E-2</v>
      </c>
      <c r="P14" s="17">
        <v>0.15320183106598101</v>
      </c>
      <c r="Q14" s="17">
        <v>9.5540883797392701E-2</v>
      </c>
      <c r="R14" s="17">
        <v>0.160191625717058</v>
      </c>
      <c r="S14" s="17">
        <v>0.203959027440024</v>
      </c>
      <c r="T14" s="17">
        <v>0.11020512184006501</v>
      </c>
      <c r="U14" s="17">
        <v>0.23536484310931199</v>
      </c>
      <c r="V14" s="17">
        <v>9.8054801235174099E-2</v>
      </c>
      <c r="W14" s="17"/>
      <c r="X14" s="17">
        <v>9.1325397314562906E-2</v>
      </c>
      <c r="Y14" s="17">
        <v>0.18776120934145599</v>
      </c>
    </row>
    <row r="15" spans="2:25" x14ac:dyDescent="0.35">
      <c r="B15" s="18" t="s">
        <v>90</v>
      </c>
      <c r="C15" s="21">
        <v>0.28490933484974601</v>
      </c>
      <c r="D15" s="21">
        <v>0.33605416468185301</v>
      </c>
      <c r="E15" s="21">
        <v>0.23734451846288701</v>
      </c>
      <c r="F15" s="21"/>
      <c r="G15" s="21">
        <v>0.38254295055141502</v>
      </c>
      <c r="H15" s="21">
        <v>0.431421603601707</v>
      </c>
      <c r="I15" s="21">
        <v>0.37233079698990801</v>
      </c>
      <c r="J15" s="21">
        <v>0.28916856508720301</v>
      </c>
      <c r="K15" s="21">
        <v>0.22103093977448501</v>
      </c>
      <c r="L15" s="21">
        <v>0.14490096443679501</v>
      </c>
      <c r="M15" s="21"/>
      <c r="N15" s="21">
        <v>0.239376272531509</v>
      </c>
      <c r="O15" s="21">
        <v>0.21876278225080101</v>
      </c>
      <c r="P15" s="21">
        <v>0.29341217726004698</v>
      </c>
      <c r="Q15" s="21">
        <v>0.263505327607505</v>
      </c>
      <c r="R15" s="21">
        <v>0.29981300433019098</v>
      </c>
      <c r="S15" s="21">
        <v>0.236983567444672</v>
      </c>
      <c r="T15" s="21">
        <v>0.29686498248733401</v>
      </c>
      <c r="U15" s="21">
        <v>0.36153416135051603</v>
      </c>
      <c r="V15" s="21">
        <v>0.23465205749307799</v>
      </c>
      <c r="W15" s="21"/>
      <c r="X15" s="21">
        <v>0.39911381599116902</v>
      </c>
      <c r="Y15" s="21">
        <v>0.22171239787823499</v>
      </c>
    </row>
    <row r="16" spans="2:25" x14ac:dyDescent="0.35">
      <c r="B16" s="18" t="s">
        <v>91</v>
      </c>
      <c r="C16" s="21">
        <v>0.339172678113912</v>
      </c>
      <c r="D16" s="21">
        <v>0.29259056667834499</v>
      </c>
      <c r="E16" s="21">
        <v>0.38261736500153198</v>
      </c>
      <c r="F16" s="21"/>
      <c r="G16" s="21">
        <v>0.285229636560975</v>
      </c>
      <c r="H16" s="21">
        <v>0.268845503467949</v>
      </c>
      <c r="I16" s="21">
        <v>0.25573389216237902</v>
      </c>
      <c r="J16" s="21">
        <v>0.31360909584316898</v>
      </c>
      <c r="K16" s="21">
        <v>0.399748583042348</v>
      </c>
      <c r="L16" s="21">
        <v>0.43199868273189901</v>
      </c>
      <c r="M16" s="21"/>
      <c r="N16" s="21">
        <v>0.44751707530001</v>
      </c>
      <c r="O16" s="21">
        <v>0.529382369341311</v>
      </c>
      <c r="P16" s="21">
        <v>0.33842276496606899</v>
      </c>
      <c r="Q16" s="21">
        <v>0.41381451769165301</v>
      </c>
      <c r="R16" s="21">
        <v>0.306365459852527</v>
      </c>
      <c r="S16" s="21">
        <v>0.36960467680801301</v>
      </c>
      <c r="T16" s="21">
        <v>0.34173959549065602</v>
      </c>
      <c r="U16" s="21">
        <v>0.15754529015548999</v>
      </c>
      <c r="V16" s="21">
        <v>0.45811667262626898</v>
      </c>
      <c r="W16" s="21"/>
      <c r="X16" s="21">
        <v>0.27987443411944402</v>
      </c>
      <c r="Y16" s="21">
        <v>0.37198634138513798</v>
      </c>
    </row>
    <row r="17" spans="2:25" x14ac:dyDescent="0.35">
      <c r="B17" s="18" t="s">
        <v>92</v>
      </c>
      <c r="C17" s="22">
        <v>-5.4263343264166403E-2</v>
      </c>
      <c r="D17" s="22">
        <v>4.3463598003507901E-2</v>
      </c>
      <c r="E17" s="22">
        <v>-0.145272846538645</v>
      </c>
      <c r="F17" s="22"/>
      <c r="G17" s="22">
        <v>9.7313313990439701E-2</v>
      </c>
      <c r="H17" s="22">
        <v>0.16257610013375901</v>
      </c>
      <c r="I17" s="22">
        <v>0.11659690482753</v>
      </c>
      <c r="J17" s="22">
        <v>-2.4440530755966399E-2</v>
      </c>
      <c r="K17" s="22">
        <v>-0.17871764326786299</v>
      </c>
      <c r="L17" s="22">
        <v>-0.287097718295104</v>
      </c>
      <c r="M17" s="22"/>
      <c r="N17" s="22">
        <v>-0.208140802768502</v>
      </c>
      <c r="O17" s="22">
        <v>-0.31061958709051002</v>
      </c>
      <c r="P17" s="22">
        <v>-4.5010587706021801E-2</v>
      </c>
      <c r="Q17" s="22">
        <v>-0.150309190084147</v>
      </c>
      <c r="R17" s="22">
        <v>-6.5524555223359596E-3</v>
      </c>
      <c r="S17" s="22">
        <v>-0.13262110936334001</v>
      </c>
      <c r="T17" s="22">
        <v>-4.4874613003322503E-2</v>
      </c>
      <c r="U17" s="22">
        <v>0.20398887119502701</v>
      </c>
      <c r="V17" s="22">
        <v>-0.22346461513318999</v>
      </c>
      <c r="W17" s="22"/>
      <c r="X17" s="22">
        <v>0.119239381871725</v>
      </c>
      <c r="Y17" s="22">
        <v>-0.15027394350690301</v>
      </c>
    </row>
    <row r="18" spans="2:25" x14ac:dyDescent="0.35">
      <c r="B18" s="16"/>
    </row>
    <row r="19" spans="2:25" x14ac:dyDescent="0.35">
      <c r="B19" t="s">
        <v>51</v>
      </c>
    </row>
    <row r="20" spans="2:25" x14ac:dyDescent="0.35">
      <c r="B20" t="s">
        <v>52</v>
      </c>
    </row>
    <row r="22" spans="2:25" x14ac:dyDescent="0.35">
      <c r="B22" s="8" t="str">
        <f>HYPERLINK("#'Contents'!A1", "Return to Contents")</f>
        <v>Return to Contents</v>
      </c>
    </row>
  </sheetData>
  <mergeCells count="5">
    <mergeCell ref="D5:E5"/>
    <mergeCell ref="G5:L5"/>
    <mergeCell ref="N5:V5"/>
    <mergeCell ref="X5:Y5"/>
    <mergeCell ref="D2:W2"/>
  </mergeCells>
  <pageMargins left="0.7" right="0.7" top="0.75" bottom="0.75" header="0.3" footer="0.3"/>
  <pageSetup paperSize="9" orientation="portrait" horizontalDpi="300" verticalDpi="300"/>
  <drawing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B2:Y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25" width="20.7265625" customWidth="1"/>
  </cols>
  <sheetData>
    <row r="2" spans="2:25" ht="40" customHeight="1" x14ac:dyDescent="0.35">
      <c r="D2" s="30" t="s">
        <v>225</v>
      </c>
      <c r="E2" s="26"/>
      <c r="F2" s="26"/>
      <c r="G2" s="26"/>
      <c r="H2" s="26"/>
      <c r="I2" s="26"/>
      <c r="J2" s="26"/>
      <c r="K2" s="26"/>
      <c r="L2" s="26"/>
      <c r="M2" s="26"/>
      <c r="N2" s="26"/>
      <c r="O2" s="26"/>
      <c r="P2" s="26"/>
      <c r="Q2" s="26"/>
      <c r="R2" s="26"/>
      <c r="S2" s="26"/>
      <c r="T2" s="26"/>
      <c r="U2" s="26"/>
      <c r="V2" s="26"/>
      <c r="W2" s="26"/>
      <c r="X2" s="26"/>
      <c r="Y2" s="26"/>
    </row>
    <row r="6" spans="2:25" ht="50" customHeight="1" x14ac:dyDescent="0.35">
      <c r="B6" s="20" t="s">
        <v>15</v>
      </c>
      <c r="C6" s="20" t="s">
        <v>200</v>
      </c>
      <c r="D6" s="20" t="s">
        <v>201</v>
      </c>
      <c r="E6" s="20" t="s">
        <v>202</v>
      </c>
      <c r="F6" s="20" t="s">
        <v>203</v>
      </c>
      <c r="G6" s="20" t="s">
        <v>204</v>
      </c>
      <c r="H6" s="20" t="s">
        <v>205</v>
      </c>
      <c r="I6" s="20" t="s">
        <v>206</v>
      </c>
      <c r="J6" s="20" t="s">
        <v>207</v>
      </c>
      <c r="K6" s="20" t="s">
        <v>208</v>
      </c>
      <c r="L6" s="20" t="s">
        <v>209</v>
      </c>
      <c r="M6" s="20" t="s">
        <v>210</v>
      </c>
      <c r="N6" s="20" t="s">
        <v>211</v>
      </c>
      <c r="O6" s="20" t="s">
        <v>212</v>
      </c>
      <c r="P6" s="20" t="s">
        <v>213</v>
      </c>
      <c r="Q6" s="20" t="s">
        <v>214</v>
      </c>
      <c r="R6" s="20" t="s">
        <v>215</v>
      </c>
      <c r="S6" s="20" t="s">
        <v>216</v>
      </c>
      <c r="T6" s="20" t="s">
        <v>217</v>
      </c>
      <c r="U6" s="20" t="s">
        <v>218</v>
      </c>
      <c r="V6" s="20" t="s">
        <v>219</v>
      </c>
      <c r="W6" s="20" t="s">
        <v>220</v>
      </c>
      <c r="X6" s="20" t="s">
        <v>221</v>
      </c>
    </row>
    <row r="7" spans="2:25" ht="29" x14ac:dyDescent="0.35">
      <c r="B7" s="18" t="s">
        <v>222</v>
      </c>
      <c r="C7" s="17">
        <v>0.231432058921201</v>
      </c>
      <c r="D7" s="17">
        <v>0.35216686849193302</v>
      </c>
      <c r="E7" s="17">
        <v>0.29706713015596697</v>
      </c>
      <c r="F7" s="17">
        <v>0.15090131119849101</v>
      </c>
      <c r="G7" s="17">
        <v>0.26761709282995999</v>
      </c>
      <c r="H7" s="17">
        <v>5.7511812668059999E-2</v>
      </c>
      <c r="I7" s="17">
        <v>0.209875527077232</v>
      </c>
      <c r="J7" s="17">
        <v>0.27870172999433501</v>
      </c>
      <c r="K7" s="17">
        <v>0.57332687516727299</v>
      </c>
      <c r="L7" s="17">
        <v>0.32173727759444098</v>
      </c>
      <c r="M7" s="17">
        <v>0.29267674570056001</v>
      </c>
      <c r="N7" s="17">
        <v>0.58187853345763896</v>
      </c>
      <c r="O7" s="17">
        <v>0.114077712871422</v>
      </c>
      <c r="P7" s="17">
        <v>0.54288301571494901</v>
      </c>
      <c r="Q7" s="17">
        <v>0.54940570376322295</v>
      </c>
      <c r="R7" s="17">
        <v>0.13271994483079999</v>
      </c>
      <c r="S7" s="17">
        <v>0.403870893390257</v>
      </c>
      <c r="T7" s="17">
        <v>0.52487200802157896</v>
      </c>
      <c r="U7" s="17">
        <v>0.46363521919635597</v>
      </c>
      <c r="V7" s="17">
        <v>0.57698141768701905</v>
      </c>
      <c r="W7" s="17">
        <v>0.64334048426544499</v>
      </c>
      <c r="X7" s="17">
        <v>0.78454345385366497</v>
      </c>
    </row>
    <row r="8" spans="2:25" ht="29" x14ac:dyDescent="0.35">
      <c r="B8" s="18" t="s">
        <v>223</v>
      </c>
      <c r="C8" s="17">
        <v>0.73631937104924094</v>
      </c>
      <c r="D8" s="17">
        <v>0.59807312863428097</v>
      </c>
      <c r="E8" s="17">
        <v>0.65835067824343396</v>
      </c>
      <c r="F8" s="17">
        <v>0.82360315886108304</v>
      </c>
      <c r="G8" s="17">
        <v>0.70606939203869801</v>
      </c>
      <c r="H8" s="17">
        <v>0.93119894682722204</v>
      </c>
      <c r="I8" s="17">
        <v>0.76218952556004405</v>
      </c>
      <c r="J8" s="17">
        <v>0.69338150377157604</v>
      </c>
      <c r="K8" s="17">
        <v>0.37011838719271001</v>
      </c>
      <c r="L8" s="17">
        <v>0.64445236042271803</v>
      </c>
      <c r="M8" s="17">
        <v>0.67100902734585799</v>
      </c>
      <c r="N8" s="17">
        <v>0.335090654980576</v>
      </c>
      <c r="O8" s="17">
        <v>0.87180125580548795</v>
      </c>
      <c r="P8" s="17">
        <v>0.42172807645485</v>
      </c>
      <c r="Q8" s="17">
        <v>0.38321262440848303</v>
      </c>
      <c r="R8" s="17">
        <v>0.84434927354043399</v>
      </c>
      <c r="S8" s="17">
        <v>0.53945116886403499</v>
      </c>
      <c r="T8" s="17">
        <v>0.40837785002897098</v>
      </c>
      <c r="U8" s="17">
        <v>0.493976125394475</v>
      </c>
      <c r="V8" s="17">
        <v>0.376369357187887</v>
      </c>
      <c r="W8" s="17">
        <v>0.292369355569843</v>
      </c>
      <c r="X8" s="17">
        <v>0.13052964871233</v>
      </c>
    </row>
    <row r="9" spans="2:25" x14ac:dyDescent="0.35">
      <c r="B9" s="18" t="s">
        <v>224</v>
      </c>
      <c r="C9" s="17">
        <v>3.22485700295575E-2</v>
      </c>
      <c r="D9" s="17">
        <v>4.9760002873786201E-2</v>
      </c>
      <c r="E9" s="17">
        <v>4.4582191600598897E-2</v>
      </c>
      <c r="F9" s="17">
        <v>2.54955299404265E-2</v>
      </c>
      <c r="G9" s="17">
        <v>2.6313515131341701E-2</v>
      </c>
      <c r="H9" s="17">
        <v>1.1289240504717499E-2</v>
      </c>
      <c r="I9" s="17">
        <v>2.7934947362723402E-2</v>
      </c>
      <c r="J9" s="17">
        <v>2.7916766234088501E-2</v>
      </c>
      <c r="K9" s="17">
        <v>5.6554737640016901E-2</v>
      </c>
      <c r="L9" s="17">
        <v>3.3810361982840202E-2</v>
      </c>
      <c r="M9" s="17">
        <v>3.6314226953581899E-2</v>
      </c>
      <c r="N9" s="17">
        <v>8.3030811561784795E-2</v>
      </c>
      <c r="O9" s="17">
        <v>1.4121031323090101E-2</v>
      </c>
      <c r="P9" s="17">
        <v>3.5388907830200801E-2</v>
      </c>
      <c r="Q9" s="17">
        <v>6.7381671828294507E-2</v>
      </c>
      <c r="R9" s="17">
        <v>2.29307816287662E-2</v>
      </c>
      <c r="S9" s="17">
        <v>5.6677937745707202E-2</v>
      </c>
      <c r="T9" s="17">
        <v>6.6750141949449907E-2</v>
      </c>
      <c r="U9" s="17">
        <v>4.2388655409168897E-2</v>
      </c>
      <c r="V9" s="17">
        <v>4.6649225125093403E-2</v>
      </c>
      <c r="W9" s="17">
        <v>6.4290160164712395E-2</v>
      </c>
      <c r="X9" s="17">
        <v>8.4926897434004806E-2</v>
      </c>
    </row>
    <row r="10" spans="2:25" x14ac:dyDescent="0.35">
      <c r="B10" s="16"/>
      <c r="C10" s="16"/>
      <c r="D10" s="16"/>
      <c r="E10" s="16"/>
      <c r="F10" s="16"/>
      <c r="G10" s="16"/>
      <c r="H10" s="16"/>
      <c r="I10" s="16"/>
      <c r="J10" s="16"/>
      <c r="K10" s="16"/>
      <c r="L10" s="16"/>
      <c r="M10" s="16"/>
      <c r="N10" s="16"/>
      <c r="O10" s="16"/>
      <c r="P10" s="16"/>
      <c r="Q10" s="16"/>
      <c r="R10" s="16"/>
      <c r="S10" s="16"/>
      <c r="T10" s="16"/>
      <c r="U10" s="16"/>
      <c r="V10" s="16"/>
      <c r="W10" s="16"/>
      <c r="X10" s="16"/>
    </row>
    <row r="11" spans="2:25" x14ac:dyDescent="0.35">
      <c r="B11" t="s">
        <v>51</v>
      </c>
    </row>
    <row r="12" spans="2:25" x14ac:dyDescent="0.35">
      <c r="B12" t="s">
        <v>52</v>
      </c>
    </row>
    <row r="16" spans="2:25" x14ac:dyDescent="0.35">
      <c r="B16" s="8" t="str">
        <f>HYPERLINK("#'Contents'!A1", "Return to Contents")</f>
        <v>Return to Contents</v>
      </c>
    </row>
  </sheetData>
  <mergeCells count="1">
    <mergeCell ref="D2:Y2"/>
  </mergeCells>
  <pageMargins left="0.7" right="0.7" top="0.75" bottom="0.75" header="0.3" footer="0.3"/>
  <pageSetup paperSize="9" orientation="portrait" horizontalDpi="300" verticalDpi="300"/>
  <drawing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B2:Y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s>
  <sheetData>
    <row r="2" spans="2:25" ht="40" customHeight="1" x14ac:dyDescent="0.35">
      <c r="D2" s="30" t="s">
        <v>226</v>
      </c>
      <c r="E2" s="26"/>
      <c r="F2" s="26"/>
      <c r="G2" s="26"/>
      <c r="H2" s="26"/>
      <c r="I2" s="26"/>
      <c r="J2" s="26"/>
      <c r="K2" s="26"/>
      <c r="L2" s="26"/>
      <c r="M2" s="26"/>
      <c r="N2" s="26"/>
      <c r="O2" s="26"/>
      <c r="P2" s="26"/>
      <c r="Q2" s="26"/>
      <c r="R2" s="26"/>
      <c r="S2" s="26"/>
      <c r="T2" s="26"/>
      <c r="U2" s="26"/>
      <c r="V2" s="26"/>
      <c r="W2" s="26"/>
    </row>
    <row r="5" spans="2:25" ht="30" customHeight="1" x14ac:dyDescent="0.35">
      <c r="B5" s="15"/>
      <c r="C5" s="15"/>
      <c r="D5" s="29" t="s">
        <v>38</v>
      </c>
      <c r="E5" s="29"/>
      <c r="F5" s="15"/>
      <c r="G5" s="29" t="s">
        <v>39</v>
      </c>
      <c r="H5" s="29"/>
      <c r="I5" s="29"/>
      <c r="J5" s="29"/>
      <c r="K5" s="29"/>
      <c r="L5" s="29"/>
      <c r="M5" s="15"/>
      <c r="N5" s="29" t="s">
        <v>40</v>
      </c>
      <c r="O5" s="29"/>
      <c r="P5" s="29"/>
      <c r="Q5" s="29"/>
      <c r="R5" s="29"/>
      <c r="S5" s="29"/>
      <c r="T5" s="29"/>
      <c r="U5" s="29"/>
      <c r="V5" s="29"/>
      <c r="W5" s="15"/>
      <c r="X5" s="29" t="s">
        <v>41</v>
      </c>
      <c r="Y5" s="29"/>
    </row>
    <row r="6" spans="2:25" ht="29"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row>
    <row r="7" spans="2:25" ht="30" customHeight="1" x14ac:dyDescent="0.35">
      <c r="B7" s="10" t="s">
        <v>19</v>
      </c>
      <c r="C7" s="10">
        <v>6838</v>
      </c>
      <c r="D7" s="10">
        <v>3283</v>
      </c>
      <c r="E7" s="10">
        <v>3541</v>
      </c>
      <c r="F7" s="10"/>
      <c r="G7" s="10">
        <v>635</v>
      </c>
      <c r="H7" s="10">
        <v>1075</v>
      </c>
      <c r="I7" s="10">
        <v>1093</v>
      </c>
      <c r="J7" s="10">
        <v>1228</v>
      </c>
      <c r="K7" s="10">
        <v>1156</v>
      </c>
      <c r="L7" s="10">
        <v>1651</v>
      </c>
      <c r="M7" s="10"/>
      <c r="N7" s="10">
        <v>208</v>
      </c>
      <c r="O7" s="10">
        <v>200</v>
      </c>
      <c r="P7" s="10">
        <v>1002</v>
      </c>
      <c r="Q7" s="10">
        <v>1000</v>
      </c>
      <c r="R7" s="10">
        <v>1004</v>
      </c>
      <c r="S7" s="10">
        <v>1006</v>
      </c>
      <c r="T7" s="10">
        <v>1006</v>
      </c>
      <c r="U7" s="10">
        <v>1007</v>
      </c>
      <c r="V7" s="10">
        <v>405</v>
      </c>
      <c r="W7" s="10"/>
      <c r="X7" s="10">
        <v>2650</v>
      </c>
      <c r="Y7" s="10">
        <v>4188</v>
      </c>
    </row>
    <row r="8" spans="2:25" ht="30" customHeight="1" x14ac:dyDescent="0.35">
      <c r="B8" s="11" t="s">
        <v>20</v>
      </c>
      <c r="C8" s="11">
        <v>6838</v>
      </c>
      <c r="D8" s="11">
        <v>3309</v>
      </c>
      <c r="E8" s="11">
        <v>3515</v>
      </c>
      <c r="F8" s="11"/>
      <c r="G8" s="11">
        <v>645</v>
      </c>
      <c r="H8" s="11">
        <v>1026</v>
      </c>
      <c r="I8" s="11">
        <v>1111</v>
      </c>
      <c r="J8" s="11">
        <v>1184</v>
      </c>
      <c r="K8" s="11">
        <v>1140</v>
      </c>
      <c r="L8" s="11">
        <v>1732</v>
      </c>
      <c r="M8" s="11"/>
      <c r="N8" s="11">
        <v>208</v>
      </c>
      <c r="O8" s="11">
        <v>200</v>
      </c>
      <c r="P8" s="11">
        <v>1002</v>
      </c>
      <c r="Q8" s="11">
        <v>1000</v>
      </c>
      <c r="R8" s="11">
        <v>1004</v>
      </c>
      <c r="S8" s="11">
        <v>1006</v>
      </c>
      <c r="T8" s="11">
        <v>1006</v>
      </c>
      <c r="U8" s="11">
        <v>1007</v>
      </c>
      <c r="V8" s="11">
        <v>405</v>
      </c>
      <c r="W8" s="11"/>
      <c r="X8" s="11">
        <v>2436</v>
      </c>
      <c r="Y8" s="11">
        <v>4402</v>
      </c>
    </row>
    <row r="9" spans="2:25" ht="29" x14ac:dyDescent="0.35">
      <c r="B9" s="18" t="s">
        <v>222</v>
      </c>
      <c r="C9" s="17">
        <v>0.231432058921201</v>
      </c>
      <c r="D9" s="17">
        <v>0.19165973821665999</v>
      </c>
      <c r="E9" s="17">
        <v>0.26888367356014498</v>
      </c>
      <c r="F9" s="17"/>
      <c r="G9" s="17">
        <v>0.136380294399987</v>
      </c>
      <c r="H9" s="17">
        <v>0.140706943142753</v>
      </c>
      <c r="I9" s="17">
        <v>0.16177875409195</v>
      </c>
      <c r="J9" s="17">
        <v>0.201374757398983</v>
      </c>
      <c r="K9" s="17">
        <v>0.28365753730510701</v>
      </c>
      <c r="L9" s="17">
        <v>0.35135627301732397</v>
      </c>
      <c r="M9" s="17"/>
      <c r="N9" s="17">
        <v>0.306903636217771</v>
      </c>
      <c r="O9" s="17">
        <v>0.23872114432201</v>
      </c>
      <c r="P9" s="17">
        <v>0.26603135669120098</v>
      </c>
      <c r="Q9" s="17">
        <v>0.23591845165667299</v>
      </c>
      <c r="R9" s="17">
        <v>0.19557182138217399</v>
      </c>
      <c r="S9" s="17">
        <v>0.270249242607777</v>
      </c>
      <c r="T9" s="17">
        <v>0.17435397288815899</v>
      </c>
      <c r="U9" s="17">
        <v>0.21633276597113399</v>
      </c>
      <c r="V9" s="17">
        <v>0.26419339223375499</v>
      </c>
      <c r="W9" s="17"/>
      <c r="X9" s="17">
        <v>0.14137803966221499</v>
      </c>
      <c r="Y9" s="17">
        <v>0.28126493870193198</v>
      </c>
    </row>
    <row r="10" spans="2:25" ht="29" x14ac:dyDescent="0.35">
      <c r="B10" s="18" t="s">
        <v>223</v>
      </c>
      <c r="C10" s="17">
        <v>0.73631937104924094</v>
      </c>
      <c r="D10" s="17">
        <v>0.780818384048243</v>
      </c>
      <c r="E10" s="17">
        <v>0.69428900569928198</v>
      </c>
      <c r="F10" s="17"/>
      <c r="G10" s="17">
        <v>0.842867162662985</v>
      </c>
      <c r="H10" s="17">
        <v>0.83790455803106001</v>
      </c>
      <c r="I10" s="17">
        <v>0.803218558652117</v>
      </c>
      <c r="J10" s="17">
        <v>0.76052323004810995</v>
      </c>
      <c r="K10" s="17">
        <v>0.68328078878305198</v>
      </c>
      <c r="L10" s="17">
        <v>0.61198972935441198</v>
      </c>
      <c r="M10" s="17"/>
      <c r="N10" s="17">
        <v>0.66545272803473199</v>
      </c>
      <c r="O10" s="17">
        <v>0.73423783863639902</v>
      </c>
      <c r="P10" s="17">
        <v>0.68679537767597698</v>
      </c>
      <c r="Q10" s="17">
        <v>0.73274387642963001</v>
      </c>
      <c r="R10" s="17">
        <v>0.77006850611176103</v>
      </c>
      <c r="S10" s="17">
        <v>0.70491936287360102</v>
      </c>
      <c r="T10" s="17">
        <v>0.80047786147058098</v>
      </c>
      <c r="U10" s="17">
        <v>0.74984688037071801</v>
      </c>
      <c r="V10" s="17">
        <v>0.70642736507526804</v>
      </c>
      <c r="W10" s="17"/>
      <c r="X10" s="17">
        <v>0.836950909900254</v>
      </c>
      <c r="Y10" s="17">
        <v>0.68063324599922503</v>
      </c>
    </row>
    <row r="11" spans="2:25" x14ac:dyDescent="0.35">
      <c r="B11" s="18" t="s">
        <v>224</v>
      </c>
      <c r="C11" s="19">
        <v>3.22485700295575E-2</v>
      </c>
      <c r="D11" s="19">
        <v>2.75218777350975E-2</v>
      </c>
      <c r="E11" s="19">
        <v>3.68273207405731E-2</v>
      </c>
      <c r="F11" s="19"/>
      <c r="G11" s="19">
        <v>2.0752542937028402E-2</v>
      </c>
      <c r="H11" s="19">
        <v>2.1388498826186399E-2</v>
      </c>
      <c r="I11" s="19">
        <v>3.50026872559328E-2</v>
      </c>
      <c r="J11" s="19">
        <v>3.8102012552906697E-2</v>
      </c>
      <c r="K11" s="19">
        <v>3.3061673911840901E-2</v>
      </c>
      <c r="L11" s="19">
        <v>3.6653997628263997E-2</v>
      </c>
      <c r="M11" s="19"/>
      <c r="N11" s="19">
        <v>2.7643635747496599E-2</v>
      </c>
      <c r="O11" s="19">
        <v>2.70410170415906E-2</v>
      </c>
      <c r="P11" s="19">
        <v>4.7173265632822099E-2</v>
      </c>
      <c r="Q11" s="19">
        <v>3.1337671913697601E-2</v>
      </c>
      <c r="R11" s="19">
        <v>3.4359672506065003E-2</v>
      </c>
      <c r="S11" s="19">
        <v>2.48313945186222E-2</v>
      </c>
      <c r="T11" s="19">
        <v>2.51681656412602E-2</v>
      </c>
      <c r="U11" s="19">
        <v>3.3820353658147999E-2</v>
      </c>
      <c r="V11" s="19">
        <v>2.9379242690976901E-2</v>
      </c>
      <c r="W11" s="19"/>
      <c r="X11" s="19">
        <v>2.1671050437530801E-2</v>
      </c>
      <c r="Y11" s="19">
        <v>3.8101815298843003E-2</v>
      </c>
    </row>
    <row r="12" spans="2:25" x14ac:dyDescent="0.35">
      <c r="B12" s="16"/>
    </row>
    <row r="13" spans="2:25" x14ac:dyDescent="0.35">
      <c r="B13" t="s">
        <v>51</v>
      </c>
    </row>
    <row r="14" spans="2:25" x14ac:dyDescent="0.35">
      <c r="B14" t="s">
        <v>52</v>
      </c>
    </row>
    <row r="16" spans="2:25" x14ac:dyDescent="0.35">
      <c r="B16" s="8" t="str">
        <f>HYPERLINK("#'Contents'!A1", "Return to Contents")</f>
        <v>Return to Contents</v>
      </c>
    </row>
  </sheetData>
  <mergeCells count="5">
    <mergeCell ref="D5:E5"/>
    <mergeCell ref="G5:L5"/>
    <mergeCell ref="N5:V5"/>
    <mergeCell ref="X5:Y5"/>
    <mergeCell ref="D2:W2"/>
  </mergeCells>
  <pageMargins left="0.7" right="0.7" top="0.75" bottom="0.75" header="0.3" footer="0.3"/>
  <pageSetup paperSize="9" orientation="portrait" horizontalDpi="300" verticalDpi="300"/>
  <drawing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B2:Y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s>
  <sheetData>
    <row r="2" spans="2:25" ht="40" customHeight="1" x14ac:dyDescent="0.35">
      <c r="D2" s="30" t="s">
        <v>227</v>
      </c>
      <c r="E2" s="26"/>
      <c r="F2" s="26"/>
      <c r="G2" s="26"/>
      <c r="H2" s="26"/>
      <c r="I2" s="26"/>
      <c r="J2" s="26"/>
      <c r="K2" s="26"/>
      <c r="L2" s="26"/>
      <c r="M2" s="26"/>
      <c r="N2" s="26"/>
      <c r="O2" s="26"/>
      <c r="P2" s="26"/>
      <c r="Q2" s="26"/>
      <c r="R2" s="26"/>
      <c r="S2" s="26"/>
      <c r="T2" s="26"/>
      <c r="U2" s="26"/>
      <c r="V2" s="26"/>
      <c r="W2" s="26"/>
    </row>
    <row r="5" spans="2:25" ht="30" customHeight="1" x14ac:dyDescent="0.35">
      <c r="B5" s="15"/>
      <c r="C5" s="15"/>
      <c r="D5" s="29" t="s">
        <v>38</v>
      </c>
      <c r="E5" s="29"/>
      <c r="F5" s="15"/>
      <c r="G5" s="29" t="s">
        <v>39</v>
      </c>
      <c r="H5" s="29"/>
      <c r="I5" s="29"/>
      <c r="J5" s="29"/>
      <c r="K5" s="29"/>
      <c r="L5" s="29"/>
      <c r="M5" s="15"/>
      <c r="N5" s="29" t="s">
        <v>40</v>
      </c>
      <c r="O5" s="29"/>
      <c r="P5" s="29"/>
      <c r="Q5" s="29"/>
      <c r="R5" s="29"/>
      <c r="S5" s="29"/>
      <c r="T5" s="29"/>
      <c r="U5" s="29"/>
      <c r="V5" s="29"/>
      <c r="W5" s="15"/>
      <c r="X5" s="29" t="s">
        <v>41</v>
      </c>
      <c r="Y5" s="29"/>
    </row>
    <row r="6" spans="2:25" ht="29"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row>
    <row r="7" spans="2:25" ht="30" customHeight="1" x14ac:dyDescent="0.35">
      <c r="B7" s="10" t="s">
        <v>19</v>
      </c>
      <c r="C7" s="10">
        <v>6838</v>
      </c>
      <c r="D7" s="10">
        <v>3283</v>
      </c>
      <c r="E7" s="10">
        <v>3541</v>
      </c>
      <c r="F7" s="10"/>
      <c r="G7" s="10">
        <v>635</v>
      </c>
      <c r="H7" s="10">
        <v>1075</v>
      </c>
      <c r="I7" s="10">
        <v>1093</v>
      </c>
      <c r="J7" s="10">
        <v>1228</v>
      </c>
      <c r="K7" s="10">
        <v>1156</v>
      </c>
      <c r="L7" s="10">
        <v>1651</v>
      </c>
      <c r="M7" s="10"/>
      <c r="N7" s="10">
        <v>208</v>
      </c>
      <c r="O7" s="10">
        <v>200</v>
      </c>
      <c r="P7" s="10">
        <v>1002</v>
      </c>
      <c r="Q7" s="10">
        <v>1000</v>
      </c>
      <c r="R7" s="10">
        <v>1004</v>
      </c>
      <c r="S7" s="10">
        <v>1006</v>
      </c>
      <c r="T7" s="10">
        <v>1006</v>
      </c>
      <c r="U7" s="10">
        <v>1007</v>
      </c>
      <c r="V7" s="10">
        <v>405</v>
      </c>
      <c r="W7" s="10"/>
      <c r="X7" s="10">
        <v>2650</v>
      </c>
      <c r="Y7" s="10">
        <v>4188</v>
      </c>
    </row>
    <row r="8" spans="2:25" ht="30" customHeight="1" x14ac:dyDescent="0.35">
      <c r="B8" s="11" t="s">
        <v>20</v>
      </c>
      <c r="C8" s="11">
        <v>6838</v>
      </c>
      <c r="D8" s="11">
        <v>3309</v>
      </c>
      <c r="E8" s="11">
        <v>3515</v>
      </c>
      <c r="F8" s="11"/>
      <c r="G8" s="11">
        <v>645</v>
      </c>
      <c r="H8" s="11">
        <v>1026</v>
      </c>
      <c r="I8" s="11">
        <v>1111</v>
      </c>
      <c r="J8" s="11">
        <v>1184</v>
      </c>
      <c r="K8" s="11">
        <v>1140</v>
      </c>
      <c r="L8" s="11">
        <v>1732</v>
      </c>
      <c r="M8" s="11"/>
      <c r="N8" s="11">
        <v>208</v>
      </c>
      <c r="O8" s="11">
        <v>200</v>
      </c>
      <c r="P8" s="11">
        <v>1002</v>
      </c>
      <c r="Q8" s="11">
        <v>1000</v>
      </c>
      <c r="R8" s="11">
        <v>1004</v>
      </c>
      <c r="S8" s="11">
        <v>1006</v>
      </c>
      <c r="T8" s="11">
        <v>1006</v>
      </c>
      <c r="U8" s="11">
        <v>1007</v>
      </c>
      <c r="V8" s="11">
        <v>405</v>
      </c>
      <c r="W8" s="11"/>
      <c r="X8" s="11">
        <v>2436</v>
      </c>
      <c r="Y8" s="11">
        <v>4402</v>
      </c>
    </row>
    <row r="9" spans="2:25" ht="29" x14ac:dyDescent="0.35">
      <c r="B9" s="18" t="s">
        <v>222</v>
      </c>
      <c r="C9" s="17">
        <v>0.35216686849193302</v>
      </c>
      <c r="D9" s="17">
        <v>0.32759054247463698</v>
      </c>
      <c r="E9" s="17">
        <v>0.375582989958888</v>
      </c>
      <c r="F9" s="17"/>
      <c r="G9" s="17">
        <v>0.21407739616497101</v>
      </c>
      <c r="H9" s="17">
        <v>0.28348783105492598</v>
      </c>
      <c r="I9" s="17">
        <v>0.30906461852933598</v>
      </c>
      <c r="J9" s="17">
        <v>0.34191303813884899</v>
      </c>
      <c r="K9" s="17">
        <v>0.384516791207277</v>
      </c>
      <c r="L9" s="17">
        <v>0.45757502648590098</v>
      </c>
      <c r="M9" s="17"/>
      <c r="N9" s="17">
        <v>0.43975894931878701</v>
      </c>
      <c r="O9" s="17">
        <v>0.43453627864632</v>
      </c>
      <c r="P9" s="17">
        <v>0.39627474834338</v>
      </c>
      <c r="Q9" s="17">
        <v>0.36658716545548298</v>
      </c>
      <c r="R9" s="17">
        <v>0.30353418293500101</v>
      </c>
      <c r="S9" s="17">
        <v>0.27901391296733302</v>
      </c>
      <c r="T9" s="17">
        <v>0.414106321243569</v>
      </c>
      <c r="U9" s="17">
        <v>0.31176859213152303</v>
      </c>
      <c r="V9" s="17">
        <v>0.37063510791447901</v>
      </c>
      <c r="W9" s="17"/>
      <c r="X9" s="17">
        <v>0.27249829572656697</v>
      </c>
      <c r="Y9" s="17">
        <v>0.39625278982656298</v>
      </c>
    </row>
    <row r="10" spans="2:25" ht="29" x14ac:dyDescent="0.35">
      <c r="B10" s="18" t="s">
        <v>223</v>
      </c>
      <c r="C10" s="17">
        <v>0.59807312863428097</v>
      </c>
      <c r="D10" s="17">
        <v>0.63242030482909095</v>
      </c>
      <c r="E10" s="17">
        <v>0.56557402443230298</v>
      </c>
      <c r="F10" s="17"/>
      <c r="G10" s="17">
        <v>0.747680774652552</v>
      </c>
      <c r="H10" s="17">
        <v>0.67647638346518102</v>
      </c>
      <c r="I10" s="17">
        <v>0.64711276458511802</v>
      </c>
      <c r="J10" s="17">
        <v>0.60005574662378403</v>
      </c>
      <c r="K10" s="17">
        <v>0.56006054081724999</v>
      </c>
      <c r="L10" s="17">
        <v>0.48819277737612499</v>
      </c>
      <c r="M10" s="17"/>
      <c r="N10" s="17">
        <v>0.52487489404216303</v>
      </c>
      <c r="O10" s="17">
        <v>0.51966711261357901</v>
      </c>
      <c r="P10" s="17">
        <v>0.52412325096798296</v>
      </c>
      <c r="Q10" s="17">
        <v>0.59311810563322298</v>
      </c>
      <c r="R10" s="17">
        <v>0.62905460661966395</v>
      </c>
      <c r="S10" s="17">
        <v>0.69514314129705701</v>
      </c>
      <c r="T10" s="17">
        <v>0.52677804602598899</v>
      </c>
      <c r="U10" s="17">
        <v>0.65101262245529501</v>
      </c>
      <c r="V10" s="17">
        <v>0.59712049310858495</v>
      </c>
      <c r="W10" s="17"/>
      <c r="X10" s="17">
        <v>0.69366114416306301</v>
      </c>
      <c r="Y10" s="17">
        <v>0.54517792056338599</v>
      </c>
    </row>
    <row r="11" spans="2:25" x14ac:dyDescent="0.35">
      <c r="B11" s="18" t="s">
        <v>224</v>
      </c>
      <c r="C11" s="19">
        <v>4.9760002873786201E-2</v>
      </c>
      <c r="D11" s="19">
        <v>3.99891526962717E-2</v>
      </c>
      <c r="E11" s="19">
        <v>5.88429856088101E-2</v>
      </c>
      <c r="F11" s="19"/>
      <c r="G11" s="19">
        <v>3.8241829182476803E-2</v>
      </c>
      <c r="H11" s="19">
        <v>4.0035785479892602E-2</v>
      </c>
      <c r="I11" s="19">
        <v>4.3822616885545798E-2</v>
      </c>
      <c r="J11" s="19">
        <v>5.8031215237367699E-2</v>
      </c>
      <c r="K11" s="19">
        <v>5.5422667975472698E-2</v>
      </c>
      <c r="L11" s="19">
        <v>5.4232196137974698E-2</v>
      </c>
      <c r="M11" s="19"/>
      <c r="N11" s="19">
        <v>3.5366156639050302E-2</v>
      </c>
      <c r="O11" s="19">
        <v>4.5796608740101503E-2</v>
      </c>
      <c r="P11" s="19">
        <v>7.9602000688637098E-2</v>
      </c>
      <c r="Q11" s="19">
        <v>4.0294728911294E-2</v>
      </c>
      <c r="R11" s="19">
        <v>6.7411210445335504E-2</v>
      </c>
      <c r="S11" s="19">
        <v>2.58429457356102E-2</v>
      </c>
      <c r="T11" s="19">
        <v>5.9115632730441597E-2</v>
      </c>
      <c r="U11" s="19">
        <v>3.7218785413182597E-2</v>
      </c>
      <c r="V11" s="19">
        <v>3.2244398976936199E-2</v>
      </c>
      <c r="W11" s="19"/>
      <c r="X11" s="19">
        <v>3.3840560110370801E-2</v>
      </c>
      <c r="Y11" s="19">
        <v>5.8569289610050999E-2</v>
      </c>
    </row>
    <row r="12" spans="2:25" x14ac:dyDescent="0.35">
      <c r="B12" s="16"/>
    </row>
    <row r="13" spans="2:25" x14ac:dyDescent="0.35">
      <c r="B13" t="s">
        <v>51</v>
      </c>
    </row>
    <row r="14" spans="2:25" x14ac:dyDescent="0.35">
      <c r="B14" t="s">
        <v>52</v>
      </c>
    </row>
    <row r="16" spans="2:25" x14ac:dyDescent="0.35">
      <c r="B16" s="8" t="str">
        <f>HYPERLINK("#'Contents'!A1", "Return to Contents")</f>
        <v>Return to Contents</v>
      </c>
    </row>
  </sheetData>
  <mergeCells count="5">
    <mergeCell ref="D5:E5"/>
    <mergeCell ref="G5:L5"/>
    <mergeCell ref="N5:V5"/>
    <mergeCell ref="X5:Y5"/>
    <mergeCell ref="D2:W2"/>
  </mergeCells>
  <pageMargins left="0.7" right="0.7" top="0.75" bottom="0.75" header="0.3" footer="0.3"/>
  <pageSetup paperSize="9" orientation="portrait" horizontalDpi="300" verticalDpi="300"/>
  <drawing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B2:Y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s>
  <sheetData>
    <row r="2" spans="2:25" ht="40" customHeight="1" x14ac:dyDescent="0.35">
      <c r="D2" s="30" t="s">
        <v>228</v>
      </c>
      <c r="E2" s="26"/>
      <c r="F2" s="26"/>
      <c r="G2" s="26"/>
      <c r="H2" s="26"/>
      <c r="I2" s="26"/>
      <c r="J2" s="26"/>
      <c r="K2" s="26"/>
      <c r="L2" s="26"/>
      <c r="M2" s="26"/>
      <c r="N2" s="26"/>
      <c r="O2" s="26"/>
      <c r="P2" s="26"/>
      <c r="Q2" s="26"/>
      <c r="R2" s="26"/>
      <c r="S2" s="26"/>
      <c r="T2" s="26"/>
      <c r="U2" s="26"/>
      <c r="V2" s="26"/>
      <c r="W2" s="26"/>
    </row>
    <row r="5" spans="2:25" ht="30" customHeight="1" x14ac:dyDescent="0.35">
      <c r="B5" s="15"/>
      <c r="C5" s="15"/>
      <c r="D5" s="29" t="s">
        <v>38</v>
      </c>
      <c r="E5" s="29"/>
      <c r="F5" s="15"/>
      <c r="G5" s="29" t="s">
        <v>39</v>
      </c>
      <c r="H5" s="29"/>
      <c r="I5" s="29"/>
      <c r="J5" s="29"/>
      <c r="K5" s="29"/>
      <c r="L5" s="29"/>
      <c r="M5" s="15"/>
      <c r="N5" s="29" t="s">
        <v>40</v>
      </c>
      <c r="O5" s="29"/>
      <c r="P5" s="29"/>
      <c r="Q5" s="29"/>
      <c r="R5" s="29"/>
      <c r="S5" s="29"/>
      <c r="T5" s="29"/>
      <c r="U5" s="29"/>
      <c r="V5" s="29"/>
      <c r="W5" s="15"/>
      <c r="X5" s="29" t="s">
        <v>41</v>
      </c>
      <c r="Y5" s="29"/>
    </row>
    <row r="6" spans="2:25" ht="29"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row>
    <row r="7" spans="2:25" ht="30" customHeight="1" x14ac:dyDescent="0.35">
      <c r="B7" s="10" t="s">
        <v>19</v>
      </c>
      <c r="C7" s="10">
        <v>6838</v>
      </c>
      <c r="D7" s="10">
        <v>3283</v>
      </c>
      <c r="E7" s="10">
        <v>3541</v>
      </c>
      <c r="F7" s="10"/>
      <c r="G7" s="10">
        <v>635</v>
      </c>
      <c r="H7" s="10">
        <v>1075</v>
      </c>
      <c r="I7" s="10">
        <v>1093</v>
      </c>
      <c r="J7" s="10">
        <v>1228</v>
      </c>
      <c r="K7" s="10">
        <v>1156</v>
      </c>
      <c r="L7" s="10">
        <v>1651</v>
      </c>
      <c r="M7" s="10"/>
      <c r="N7" s="10">
        <v>208</v>
      </c>
      <c r="O7" s="10">
        <v>200</v>
      </c>
      <c r="P7" s="10">
        <v>1002</v>
      </c>
      <c r="Q7" s="10">
        <v>1000</v>
      </c>
      <c r="R7" s="10">
        <v>1004</v>
      </c>
      <c r="S7" s="10">
        <v>1006</v>
      </c>
      <c r="T7" s="10">
        <v>1006</v>
      </c>
      <c r="U7" s="10">
        <v>1007</v>
      </c>
      <c r="V7" s="10">
        <v>405</v>
      </c>
      <c r="W7" s="10"/>
      <c r="X7" s="10">
        <v>2650</v>
      </c>
      <c r="Y7" s="10">
        <v>4188</v>
      </c>
    </row>
    <row r="8" spans="2:25" ht="30" customHeight="1" x14ac:dyDescent="0.35">
      <c r="B8" s="11" t="s">
        <v>20</v>
      </c>
      <c r="C8" s="11">
        <v>6838</v>
      </c>
      <c r="D8" s="11">
        <v>3309</v>
      </c>
      <c r="E8" s="11">
        <v>3515</v>
      </c>
      <c r="F8" s="11"/>
      <c r="G8" s="11">
        <v>645</v>
      </c>
      <c r="H8" s="11">
        <v>1026</v>
      </c>
      <c r="I8" s="11">
        <v>1111</v>
      </c>
      <c r="J8" s="11">
        <v>1184</v>
      </c>
      <c r="K8" s="11">
        <v>1140</v>
      </c>
      <c r="L8" s="11">
        <v>1732</v>
      </c>
      <c r="M8" s="11"/>
      <c r="N8" s="11">
        <v>208</v>
      </c>
      <c r="O8" s="11">
        <v>200</v>
      </c>
      <c r="P8" s="11">
        <v>1002</v>
      </c>
      <c r="Q8" s="11">
        <v>1000</v>
      </c>
      <c r="R8" s="11">
        <v>1004</v>
      </c>
      <c r="S8" s="11">
        <v>1006</v>
      </c>
      <c r="T8" s="11">
        <v>1006</v>
      </c>
      <c r="U8" s="11">
        <v>1007</v>
      </c>
      <c r="V8" s="11">
        <v>405</v>
      </c>
      <c r="W8" s="11"/>
      <c r="X8" s="11">
        <v>2436</v>
      </c>
      <c r="Y8" s="11">
        <v>4402</v>
      </c>
    </row>
    <row r="9" spans="2:25" ht="29" x14ac:dyDescent="0.35">
      <c r="B9" s="18" t="s">
        <v>222</v>
      </c>
      <c r="C9" s="17">
        <v>0.29706713015596697</v>
      </c>
      <c r="D9" s="17">
        <v>0.27282488744286698</v>
      </c>
      <c r="E9" s="17">
        <v>0.31910879494044497</v>
      </c>
      <c r="F9" s="17"/>
      <c r="G9" s="17">
        <v>0.30192419428238099</v>
      </c>
      <c r="H9" s="17">
        <v>0.26550649437299001</v>
      </c>
      <c r="I9" s="17">
        <v>0.26485497761842502</v>
      </c>
      <c r="J9" s="17">
        <v>0.27836230576155402</v>
      </c>
      <c r="K9" s="17">
        <v>0.29764326782879802</v>
      </c>
      <c r="L9" s="17">
        <v>0.34700828231519998</v>
      </c>
      <c r="M9" s="17"/>
      <c r="N9" s="17">
        <v>0.206454973525901</v>
      </c>
      <c r="O9" s="17">
        <v>0.19188994950663699</v>
      </c>
      <c r="P9" s="17">
        <v>0.34648069824689698</v>
      </c>
      <c r="Q9" s="17">
        <v>0.45894947272042602</v>
      </c>
      <c r="R9" s="17">
        <v>0.30308739804366902</v>
      </c>
      <c r="S9" s="17">
        <v>0.240513897781928</v>
      </c>
      <c r="T9" s="17">
        <v>0.197605086145271</v>
      </c>
      <c r="U9" s="17">
        <v>0.292742146509058</v>
      </c>
      <c r="V9" s="17">
        <v>0.25694442530059403</v>
      </c>
      <c r="W9" s="17"/>
      <c r="X9" s="17">
        <v>0.217275020960706</v>
      </c>
      <c r="Y9" s="17">
        <v>0.34122141241562998</v>
      </c>
    </row>
    <row r="10" spans="2:25" ht="29" x14ac:dyDescent="0.35">
      <c r="B10" s="18" t="s">
        <v>223</v>
      </c>
      <c r="C10" s="17">
        <v>0.65835067824343396</v>
      </c>
      <c r="D10" s="17">
        <v>0.69029945553053396</v>
      </c>
      <c r="E10" s="17">
        <v>0.62887568556864404</v>
      </c>
      <c r="F10" s="17"/>
      <c r="G10" s="17">
        <v>0.64057702778679104</v>
      </c>
      <c r="H10" s="17">
        <v>0.68596253527342699</v>
      </c>
      <c r="I10" s="17">
        <v>0.68906379083715097</v>
      </c>
      <c r="J10" s="17">
        <v>0.672893964922466</v>
      </c>
      <c r="K10" s="17">
        <v>0.66885842287601904</v>
      </c>
      <c r="L10" s="17">
        <v>0.61206372848905499</v>
      </c>
      <c r="M10" s="17"/>
      <c r="N10" s="17">
        <v>0.74574687222563196</v>
      </c>
      <c r="O10" s="17">
        <v>0.78566375913494102</v>
      </c>
      <c r="P10" s="17">
        <v>0.602772384311969</v>
      </c>
      <c r="Q10" s="17">
        <v>0.50340529413698099</v>
      </c>
      <c r="R10" s="17">
        <v>0.61692990172477802</v>
      </c>
      <c r="S10" s="17">
        <v>0.73739250511630094</v>
      </c>
      <c r="T10" s="17">
        <v>0.75277884903037096</v>
      </c>
      <c r="U10" s="17">
        <v>0.66558995787470199</v>
      </c>
      <c r="V10" s="17">
        <v>0.72447289426680705</v>
      </c>
      <c r="W10" s="17"/>
      <c r="X10" s="17">
        <v>0.75974780948978204</v>
      </c>
      <c r="Y10" s="17">
        <v>0.60224089998935504</v>
      </c>
    </row>
    <row r="11" spans="2:25" x14ac:dyDescent="0.35">
      <c r="B11" s="18" t="s">
        <v>224</v>
      </c>
      <c r="C11" s="19">
        <v>4.4582191600598897E-2</v>
      </c>
      <c r="D11" s="19">
        <v>3.6875657026598903E-2</v>
      </c>
      <c r="E11" s="19">
        <v>5.20155194909111E-2</v>
      </c>
      <c r="F11" s="19"/>
      <c r="G11" s="19">
        <v>5.7498777930827701E-2</v>
      </c>
      <c r="H11" s="19">
        <v>4.8530970353583197E-2</v>
      </c>
      <c r="I11" s="19">
        <v>4.6081231544424797E-2</v>
      </c>
      <c r="J11" s="19">
        <v>4.87437293159802E-2</v>
      </c>
      <c r="K11" s="19">
        <v>3.3498309295183E-2</v>
      </c>
      <c r="L11" s="19">
        <v>4.0927989195745001E-2</v>
      </c>
      <c r="M11" s="19"/>
      <c r="N11" s="19">
        <v>4.77981542484665E-2</v>
      </c>
      <c r="O11" s="19">
        <v>2.24462913584225E-2</v>
      </c>
      <c r="P11" s="19">
        <v>5.0746917441133799E-2</v>
      </c>
      <c r="Q11" s="19">
        <v>3.7645233142593597E-2</v>
      </c>
      <c r="R11" s="19">
        <v>7.9982700231552697E-2</v>
      </c>
      <c r="S11" s="19">
        <v>2.2093597101770699E-2</v>
      </c>
      <c r="T11" s="19">
        <v>4.9616064824357702E-2</v>
      </c>
      <c r="U11" s="19">
        <v>4.1667895616239903E-2</v>
      </c>
      <c r="V11" s="19">
        <v>1.8582680432599499E-2</v>
      </c>
      <c r="W11" s="19"/>
      <c r="X11" s="19">
        <v>2.29771695495119E-2</v>
      </c>
      <c r="Y11" s="19">
        <v>5.6537687595014999E-2</v>
      </c>
    </row>
    <row r="12" spans="2:25" x14ac:dyDescent="0.35">
      <c r="B12" s="16"/>
    </row>
    <row r="13" spans="2:25" x14ac:dyDescent="0.35">
      <c r="B13" t="s">
        <v>51</v>
      </c>
    </row>
    <row r="14" spans="2:25" x14ac:dyDescent="0.35">
      <c r="B14" t="s">
        <v>52</v>
      </c>
    </row>
    <row r="16" spans="2:25" x14ac:dyDescent="0.35">
      <c r="B16" s="8" t="str">
        <f>HYPERLINK("#'Contents'!A1", "Return to Contents")</f>
        <v>Return to Contents</v>
      </c>
    </row>
  </sheetData>
  <mergeCells count="5">
    <mergeCell ref="D5:E5"/>
    <mergeCell ref="G5:L5"/>
    <mergeCell ref="N5:V5"/>
    <mergeCell ref="X5:Y5"/>
    <mergeCell ref="D2:W2"/>
  </mergeCells>
  <pageMargins left="0.7" right="0.7" top="0.75" bottom="0.75" header="0.3" footer="0.3"/>
  <pageSetup paperSize="9" orientation="portrait" horizontalDpi="300" verticalDpi="300"/>
  <drawing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B2:Y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s>
  <sheetData>
    <row r="2" spans="2:25" ht="40" customHeight="1" x14ac:dyDescent="0.35">
      <c r="D2" s="30" t="s">
        <v>229</v>
      </c>
      <c r="E2" s="26"/>
      <c r="F2" s="26"/>
      <c r="G2" s="26"/>
      <c r="H2" s="26"/>
      <c r="I2" s="26"/>
      <c r="J2" s="26"/>
      <c r="K2" s="26"/>
      <c r="L2" s="26"/>
      <c r="M2" s="26"/>
      <c r="N2" s="26"/>
      <c r="O2" s="26"/>
      <c r="P2" s="26"/>
      <c r="Q2" s="26"/>
      <c r="R2" s="26"/>
      <c r="S2" s="26"/>
      <c r="T2" s="26"/>
      <c r="U2" s="26"/>
      <c r="V2" s="26"/>
      <c r="W2" s="26"/>
    </row>
    <row r="5" spans="2:25" ht="30" customHeight="1" x14ac:dyDescent="0.35">
      <c r="B5" s="15"/>
      <c r="C5" s="15"/>
      <c r="D5" s="29" t="s">
        <v>38</v>
      </c>
      <c r="E5" s="29"/>
      <c r="F5" s="15"/>
      <c r="G5" s="29" t="s">
        <v>39</v>
      </c>
      <c r="H5" s="29"/>
      <c r="I5" s="29"/>
      <c r="J5" s="29"/>
      <c r="K5" s="29"/>
      <c r="L5" s="29"/>
      <c r="M5" s="15"/>
      <c r="N5" s="29" t="s">
        <v>40</v>
      </c>
      <c r="O5" s="29"/>
      <c r="P5" s="29"/>
      <c r="Q5" s="29"/>
      <c r="R5" s="29"/>
      <c r="S5" s="29"/>
      <c r="T5" s="29"/>
      <c r="U5" s="29"/>
      <c r="V5" s="29"/>
      <c r="W5" s="15"/>
      <c r="X5" s="29" t="s">
        <v>41</v>
      </c>
      <c r="Y5" s="29"/>
    </row>
    <row r="6" spans="2:25" ht="29"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row>
    <row r="7" spans="2:25" ht="30" customHeight="1" x14ac:dyDescent="0.35">
      <c r="B7" s="10" t="s">
        <v>19</v>
      </c>
      <c r="C7" s="10">
        <v>6838</v>
      </c>
      <c r="D7" s="10">
        <v>3283</v>
      </c>
      <c r="E7" s="10">
        <v>3541</v>
      </c>
      <c r="F7" s="10"/>
      <c r="G7" s="10">
        <v>635</v>
      </c>
      <c r="H7" s="10">
        <v>1075</v>
      </c>
      <c r="I7" s="10">
        <v>1093</v>
      </c>
      <c r="J7" s="10">
        <v>1228</v>
      </c>
      <c r="K7" s="10">
        <v>1156</v>
      </c>
      <c r="L7" s="10">
        <v>1651</v>
      </c>
      <c r="M7" s="10"/>
      <c r="N7" s="10">
        <v>208</v>
      </c>
      <c r="O7" s="10">
        <v>200</v>
      </c>
      <c r="P7" s="10">
        <v>1002</v>
      </c>
      <c r="Q7" s="10">
        <v>1000</v>
      </c>
      <c r="R7" s="10">
        <v>1004</v>
      </c>
      <c r="S7" s="10">
        <v>1006</v>
      </c>
      <c r="T7" s="10">
        <v>1006</v>
      </c>
      <c r="U7" s="10">
        <v>1007</v>
      </c>
      <c r="V7" s="10">
        <v>405</v>
      </c>
      <c r="W7" s="10"/>
      <c r="X7" s="10">
        <v>2650</v>
      </c>
      <c r="Y7" s="10">
        <v>4188</v>
      </c>
    </row>
    <row r="8" spans="2:25" ht="30" customHeight="1" x14ac:dyDescent="0.35">
      <c r="B8" s="11" t="s">
        <v>20</v>
      </c>
      <c r="C8" s="11">
        <v>6838</v>
      </c>
      <c r="D8" s="11">
        <v>3309</v>
      </c>
      <c r="E8" s="11">
        <v>3515</v>
      </c>
      <c r="F8" s="11"/>
      <c r="G8" s="11">
        <v>645</v>
      </c>
      <c r="H8" s="11">
        <v>1026</v>
      </c>
      <c r="I8" s="11">
        <v>1111</v>
      </c>
      <c r="J8" s="11">
        <v>1184</v>
      </c>
      <c r="K8" s="11">
        <v>1140</v>
      </c>
      <c r="L8" s="11">
        <v>1732</v>
      </c>
      <c r="M8" s="11"/>
      <c r="N8" s="11">
        <v>208</v>
      </c>
      <c r="O8" s="11">
        <v>200</v>
      </c>
      <c r="P8" s="11">
        <v>1002</v>
      </c>
      <c r="Q8" s="11">
        <v>1000</v>
      </c>
      <c r="R8" s="11">
        <v>1004</v>
      </c>
      <c r="S8" s="11">
        <v>1006</v>
      </c>
      <c r="T8" s="11">
        <v>1006</v>
      </c>
      <c r="U8" s="11">
        <v>1007</v>
      </c>
      <c r="V8" s="11">
        <v>405</v>
      </c>
      <c r="W8" s="11"/>
      <c r="X8" s="11">
        <v>2436</v>
      </c>
      <c r="Y8" s="11">
        <v>4402</v>
      </c>
    </row>
    <row r="9" spans="2:25" ht="29" x14ac:dyDescent="0.35">
      <c r="B9" s="18" t="s">
        <v>222</v>
      </c>
      <c r="C9" s="17">
        <v>0.15090131119849101</v>
      </c>
      <c r="D9" s="17">
        <v>0.132884000505786</v>
      </c>
      <c r="E9" s="17">
        <v>0.167937274507552</v>
      </c>
      <c r="F9" s="17"/>
      <c r="G9" s="17">
        <v>0.133397759320835</v>
      </c>
      <c r="H9" s="17">
        <v>0.12662602590093899</v>
      </c>
      <c r="I9" s="17">
        <v>0.12255174464619099</v>
      </c>
      <c r="J9" s="17">
        <v>0.14212725304649099</v>
      </c>
      <c r="K9" s="17">
        <v>0.155578708170484</v>
      </c>
      <c r="L9" s="17">
        <v>0.192887701755979</v>
      </c>
      <c r="M9" s="17"/>
      <c r="N9" s="17">
        <v>0.14334624862093601</v>
      </c>
      <c r="O9" s="17">
        <v>4.7942344357918401E-2</v>
      </c>
      <c r="P9" s="17">
        <v>0.21904647713980999</v>
      </c>
      <c r="Q9" s="17">
        <v>0.147318865764139</v>
      </c>
      <c r="R9" s="17">
        <v>0.12561455703411001</v>
      </c>
      <c r="S9" s="17">
        <v>0.14374595602162701</v>
      </c>
      <c r="T9" s="17">
        <v>7.8822857894071105E-2</v>
      </c>
      <c r="U9" s="17">
        <v>0.237365963317581</v>
      </c>
      <c r="V9" s="17">
        <v>9.0386356568070397E-2</v>
      </c>
      <c r="W9" s="17"/>
      <c r="X9" s="17">
        <v>0.10203513262388</v>
      </c>
      <c r="Y9" s="17">
        <v>0.177942218670362</v>
      </c>
    </row>
    <row r="10" spans="2:25" ht="29" x14ac:dyDescent="0.35">
      <c r="B10" s="18" t="s">
        <v>223</v>
      </c>
      <c r="C10" s="17">
        <v>0.82360315886108304</v>
      </c>
      <c r="D10" s="17">
        <v>0.84644645588947698</v>
      </c>
      <c r="E10" s="17">
        <v>0.80223640270017205</v>
      </c>
      <c r="F10" s="17"/>
      <c r="G10" s="17">
        <v>0.82888196592286301</v>
      </c>
      <c r="H10" s="17">
        <v>0.85010090772732405</v>
      </c>
      <c r="I10" s="17">
        <v>0.85862207446827798</v>
      </c>
      <c r="J10" s="17">
        <v>0.83505565532748804</v>
      </c>
      <c r="K10" s="17">
        <v>0.82063711728088495</v>
      </c>
      <c r="L10" s="17">
        <v>0.77761567470085302</v>
      </c>
      <c r="M10" s="17"/>
      <c r="N10" s="17">
        <v>0.85665375137906397</v>
      </c>
      <c r="O10" s="17">
        <v>0.94380236561597897</v>
      </c>
      <c r="P10" s="17">
        <v>0.73622737156884999</v>
      </c>
      <c r="Q10" s="17">
        <v>0.82540133660445203</v>
      </c>
      <c r="R10" s="17">
        <v>0.84981247242467395</v>
      </c>
      <c r="S10" s="17">
        <v>0.84088646728964</v>
      </c>
      <c r="T10" s="17">
        <v>0.91035250567748205</v>
      </c>
      <c r="U10" s="17">
        <v>0.71910211570179094</v>
      </c>
      <c r="V10" s="17">
        <v>0.895453887245931</v>
      </c>
      <c r="W10" s="17"/>
      <c r="X10" s="17">
        <v>0.88439728411542096</v>
      </c>
      <c r="Y10" s="17">
        <v>0.78996172497392303</v>
      </c>
    </row>
    <row r="11" spans="2:25" x14ac:dyDescent="0.35">
      <c r="B11" s="18" t="s">
        <v>224</v>
      </c>
      <c r="C11" s="19">
        <v>2.54955299404265E-2</v>
      </c>
      <c r="D11" s="19">
        <v>2.0669543604737401E-2</v>
      </c>
      <c r="E11" s="19">
        <v>2.9826322792276198E-2</v>
      </c>
      <c r="F11" s="19"/>
      <c r="G11" s="19">
        <v>3.7720274756302498E-2</v>
      </c>
      <c r="H11" s="19">
        <v>2.3273066371736199E-2</v>
      </c>
      <c r="I11" s="19">
        <v>1.8826180885530699E-2</v>
      </c>
      <c r="J11" s="19">
        <v>2.2817091626020299E-2</v>
      </c>
      <c r="K11" s="19">
        <v>2.3784174548631201E-2</v>
      </c>
      <c r="L11" s="19">
        <v>2.9496623543168302E-2</v>
      </c>
      <c r="M11" s="19"/>
      <c r="N11" s="19">
        <v>0</v>
      </c>
      <c r="O11" s="19">
        <v>8.2552900261028406E-3</v>
      </c>
      <c r="P11" s="19">
        <v>4.4726151291339201E-2</v>
      </c>
      <c r="Q11" s="19">
        <v>2.7279797631408999E-2</v>
      </c>
      <c r="R11" s="19">
        <v>2.4572970541215801E-2</v>
      </c>
      <c r="S11" s="19">
        <v>1.5367576688733099E-2</v>
      </c>
      <c r="T11" s="19">
        <v>1.0824636428446501E-2</v>
      </c>
      <c r="U11" s="19">
        <v>4.3531920980628303E-2</v>
      </c>
      <c r="V11" s="19">
        <v>1.41597561859984E-2</v>
      </c>
      <c r="W11" s="19"/>
      <c r="X11" s="19">
        <v>1.3567583260699101E-2</v>
      </c>
      <c r="Y11" s="19">
        <v>3.2096056355714997E-2</v>
      </c>
    </row>
    <row r="12" spans="2:25" x14ac:dyDescent="0.35">
      <c r="B12" s="16"/>
    </row>
    <row r="13" spans="2:25" x14ac:dyDescent="0.35">
      <c r="B13" t="s">
        <v>51</v>
      </c>
    </row>
    <row r="14" spans="2:25" x14ac:dyDescent="0.35">
      <c r="B14" t="s">
        <v>52</v>
      </c>
    </row>
    <row r="16" spans="2:25" x14ac:dyDescent="0.35">
      <c r="B16" s="8" t="str">
        <f>HYPERLINK("#'Contents'!A1", "Return to Contents")</f>
        <v>Return to Contents</v>
      </c>
    </row>
  </sheetData>
  <mergeCells count="5">
    <mergeCell ref="D5:E5"/>
    <mergeCell ref="G5:L5"/>
    <mergeCell ref="N5:V5"/>
    <mergeCell ref="X5:Y5"/>
    <mergeCell ref="D2:W2"/>
  </mergeCells>
  <pageMargins left="0.7" right="0.7" top="0.75" bottom="0.75" header="0.3" footer="0.3"/>
  <pageSetup paperSize="9" orientation="portrait" horizontalDpi="300" verticalDpi="300"/>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B2:Y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s>
  <sheetData>
    <row r="2" spans="2:25" ht="40" customHeight="1" x14ac:dyDescent="0.35">
      <c r="D2" s="30" t="s">
        <v>230</v>
      </c>
      <c r="E2" s="26"/>
      <c r="F2" s="26"/>
      <c r="G2" s="26"/>
      <c r="H2" s="26"/>
      <c r="I2" s="26"/>
      <c r="J2" s="26"/>
      <c r="K2" s="26"/>
      <c r="L2" s="26"/>
      <c r="M2" s="26"/>
      <c r="N2" s="26"/>
      <c r="O2" s="26"/>
      <c r="P2" s="26"/>
      <c r="Q2" s="26"/>
      <c r="R2" s="26"/>
      <c r="S2" s="26"/>
      <c r="T2" s="26"/>
      <c r="U2" s="26"/>
      <c r="V2" s="26"/>
      <c r="W2" s="26"/>
    </row>
    <row r="5" spans="2:25" ht="30" customHeight="1" x14ac:dyDescent="0.35">
      <c r="B5" s="15"/>
      <c r="C5" s="15"/>
      <c r="D5" s="29" t="s">
        <v>38</v>
      </c>
      <c r="E5" s="29"/>
      <c r="F5" s="15"/>
      <c r="G5" s="29" t="s">
        <v>39</v>
      </c>
      <c r="H5" s="29"/>
      <c r="I5" s="29"/>
      <c r="J5" s="29"/>
      <c r="K5" s="29"/>
      <c r="L5" s="29"/>
      <c r="M5" s="15"/>
      <c r="N5" s="29" t="s">
        <v>40</v>
      </c>
      <c r="O5" s="29"/>
      <c r="P5" s="29"/>
      <c r="Q5" s="29"/>
      <c r="R5" s="29"/>
      <c r="S5" s="29"/>
      <c r="T5" s="29"/>
      <c r="U5" s="29"/>
      <c r="V5" s="29"/>
      <c r="W5" s="15"/>
      <c r="X5" s="29" t="s">
        <v>41</v>
      </c>
      <c r="Y5" s="29"/>
    </row>
    <row r="6" spans="2:25" ht="29"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row>
    <row r="7" spans="2:25" ht="30" customHeight="1" x14ac:dyDescent="0.35">
      <c r="B7" s="10" t="s">
        <v>19</v>
      </c>
      <c r="C7" s="10">
        <v>6838</v>
      </c>
      <c r="D7" s="10">
        <v>3283</v>
      </c>
      <c r="E7" s="10">
        <v>3541</v>
      </c>
      <c r="F7" s="10"/>
      <c r="G7" s="10">
        <v>635</v>
      </c>
      <c r="H7" s="10">
        <v>1075</v>
      </c>
      <c r="I7" s="10">
        <v>1093</v>
      </c>
      <c r="J7" s="10">
        <v>1228</v>
      </c>
      <c r="K7" s="10">
        <v>1156</v>
      </c>
      <c r="L7" s="10">
        <v>1651</v>
      </c>
      <c r="M7" s="10"/>
      <c r="N7" s="10">
        <v>208</v>
      </c>
      <c r="O7" s="10">
        <v>200</v>
      </c>
      <c r="P7" s="10">
        <v>1002</v>
      </c>
      <c r="Q7" s="10">
        <v>1000</v>
      </c>
      <c r="R7" s="10">
        <v>1004</v>
      </c>
      <c r="S7" s="10">
        <v>1006</v>
      </c>
      <c r="T7" s="10">
        <v>1006</v>
      </c>
      <c r="U7" s="10">
        <v>1007</v>
      </c>
      <c r="V7" s="10">
        <v>405</v>
      </c>
      <c r="W7" s="10"/>
      <c r="X7" s="10">
        <v>2650</v>
      </c>
      <c r="Y7" s="10">
        <v>4188</v>
      </c>
    </row>
    <row r="8" spans="2:25" ht="30" customHeight="1" x14ac:dyDescent="0.35">
      <c r="B8" s="11" t="s">
        <v>20</v>
      </c>
      <c r="C8" s="11">
        <v>6838</v>
      </c>
      <c r="D8" s="11">
        <v>3309</v>
      </c>
      <c r="E8" s="11">
        <v>3515</v>
      </c>
      <c r="F8" s="11"/>
      <c r="G8" s="11">
        <v>645</v>
      </c>
      <c r="H8" s="11">
        <v>1026</v>
      </c>
      <c r="I8" s="11">
        <v>1111</v>
      </c>
      <c r="J8" s="11">
        <v>1184</v>
      </c>
      <c r="K8" s="11">
        <v>1140</v>
      </c>
      <c r="L8" s="11">
        <v>1732</v>
      </c>
      <c r="M8" s="11"/>
      <c r="N8" s="11">
        <v>208</v>
      </c>
      <c r="O8" s="11">
        <v>200</v>
      </c>
      <c r="P8" s="11">
        <v>1002</v>
      </c>
      <c r="Q8" s="11">
        <v>1000</v>
      </c>
      <c r="R8" s="11">
        <v>1004</v>
      </c>
      <c r="S8" s="11">
        <v>1006</v>
      </c>
      <c r="T8" s="11">
        <v>1006</v>
      </c>
      <c r="U8" s="11">
        <v>1007</v>
      </c>
      <c r="V8" s="11">
        <v>405</v>
      </c>
      <c r="W8" s="11"/>
      <c r="X8" s="11">
        <v>2436</v>
      </c>
      <c r="Y8" s="11">
        <v>4402</v>
      </c>
    </row>
    <row r="9" spans="2:25" ht="29" x14ac:dyDescent="0.35">
      <c r="B9" s="18" t="s">
        <v>222</v>
      </c>
      <c r="C9" s="17">
        <v>0.26761709282995999</v>
      </c>
      <c r="D9" s="17">
        <v>0.29026920910728299</v>
      </c>
      <c r="E9" s="17">
        <v>0.245874886222928</v>
      </c>
      <c r="F9" s="17"/>
      <c r="G9" s="17">
        <v>0.237560536650023</v>
      </c>
      <c r="H9" s="17">
        <v>0.22378737174528299</v>
      </c>
      <c r="I9" s="17">
        <v>0.240165338276388</v>
      </c>
      <c r="J9" s="17">
        <v>0.25259455413651299</v>
      </c>
      <c r="K9" s="17">
        <v>0.31684372450352899</v>
      </c>
      <c r="L9" s="17">
        <v>0.300221793189485</v>
      </c>
      <c r="M9" s="17"/>
      <c r="N9" s="17">
        <v>0.29671913093920199</v>
      </c>
      <c r="O9" s="17">
        <v>0.18854760486737801</v>
      </c>
      <c r="P9" s="17">
        <v>0.321743834413386</v>
      </c>
      <c r="Q9" s="17">
        <v>0.33013835845343698</v>
      </c>
      <c r="R9" s="17">
        <v>0.213930330211759</v>
      </c>
      <c r="S9" s="17">
        <v>0.29907727237084902</v>
      </c>
      <c r="T9" s="17">
        <v>0.160846646895589</v>
      </c>
      <c r="U9" s="17">
        <v>0.29144953617506802</v>
      </c>
      <c r="V9" s="17">
        <v>0.26433013033049901</v>
      </c>
      <c r="W9" s="17"/>
      <c r="X9" s="17">
        <v>0.219917625740121</v>
      </c>
      <c r="Y9" s="17">
        <v>0.294012381220775</v>
      </c>
    </row>
    <row r="10" spans="2:25" ht="29" x14ac:dyDescent="0.35">
      <c r="B10" s="18" t="s">
        <v>223</v>
      </c>
      <c r="C10" s="17">
        <v>0.70606939203869801</v>
      </c>
      <c r="D10" s="17">
        <v>0.68510096102894402</v>
      </c>
      <c r="E10" s="17">
        <v>0.72612128515104102</v>
      </c>
      <c r="F10" s="17"/>
      <c r="G10" s="17">
        <v>0.72290209237597203</v>
      </c>
      <c r="H10" s="17">
        <v>0.75152180408853497</v>
      </c>
      <c r="I10" s="17">
        <v>0.72792638016630695</v>
      </c>
      <c r="J10" s="17">
        <v>0.71922246317356897</v>
      </c>
      <c r="K10" s="17">
        <v>0.66066723856766196</v>
      </c>
      <c r="L10" s="17">
        <v>0.679774228672686</v>
      </c>
      <c r="M10" s="17"/>
      <c r="N10" s="17">
        <v>0.67294964636161603</v>
      </c>
      <c r="O10" s="17">
        <v>0.79891643547744895</v>
      </c>
      <c r="P10" s="17">
        <v>0.64625193346153098</v>
      </c>
      <c r="Q10" s="17">
        <v>0.63606798704738998</v>
      </c>
      <c r="R10" s="17">
        <v>0.75242063002671</v>
      </c>
      <c r="S10" s="17">
        <v>0.68201876613482804</v>
      </c>
      <c r="T10" s="17">
        <v>0.81914909547280101</v>
      </c>
      <c r="U10" s="17">
        <v>0.68403370979378497</v>
      </c>
      <c r="V10" s="17">
        <v>0.716805278418848</v>
      </c>
      <c r="W10" s="17"/>
      <c r="X10" s="17">
        <v>0.76138697868163696</v>
      </c>
      <c r="Y10" s="17">
        <v>0.67545849129688895</v>
      </c>
    </row>
    <row r="11" spans="2:25" x14ac:dyDescent="0.35">
      <c r="B11" s="18" t="s">
        <v>224</v>
      </c>
      <c r="C11" s="19">
        <v>2.6313515131341701E-2</v>
      </c>
      <c r="D11" s="19">
        <v>2.4629829863773399E-2</v>
      </c>
      <c r="E11" s="19">
        <v>2.80038286260305E-2</v>
      </c>
      <c r="F11" s="19"/>
      <c r="G11" s="19">
        <v>3.9537370974005497E-2</v>
      </c>
      <c r="H11" s="19">
        <v>2.46908241661816E-2</v>
      </c>
      <c r="I11" s="19">
        <v>3.1908281557304997E-2</v>
      </c>
      <c r="J11" s="19">
        <v>2.81829826899174E-2</v>
      </c>
      <c r="K11" s="19">
        <v>2.2489036928808999E-2</v>
      </c>
      <c r="L11" s="19">
        <v>2.0003978137828698E-2</v>
      </c>
      <c r="M11" s="19"/>
      <c r="N11" s="19">
        <v>3.03312226991811E-2</v>
      </c>
      <c r="O11" s="19">
        <v>1.2535959655172299E-2</v>
      </c>
      <c r="P11" s="19">
        <v>3.2004232125082799E-2</v>
      </c>
      <c r="Q11" s="19">
        <v>3.3793654499172598E-2</v>
      </c>
      <c r="R11" s="19">
        <v>3.3649039761531101E-2</v>
      </c>
      <c r="S11" s="19">
        <v>1.8903961494322601E-2</v>
      </c>
      <c r="T11" s="19">
        <v>2.00042576316097E-2</v>
      </c>
      <c r="U11" s="19">
        <v>2.4516754031147101E-2</v>
      </c>
      <c r="V11" s="19">
        <v>1.8864591250653099E-2</v>
      </c>
      <c r="W11" s="19"/>
      <c r="X11" s="19">
        <v>1.86953955782421E-2</v>
      </c>
      <c r="Y11" s="19">
        <v>3.05291274823359E-2</v>
      </c>
    </row>
    <row r="12" spans="2:25" x14ac:dyDescent="0.35">
      <c r="B12" s="16"/>
    </row>
    <row r="13" spans="2:25" x14ac:dyDescent="0.35">
      <c r="B13" t="s">
        <v>51</v>
      </c>
    </row>
    <row r="14" spans="2:25" x14ac:dyDescent="0.35">
      <c r="B14" t="s">
        <v>52</v>
      </c>
    </row>
    <row r="16" spans="2:25" x14ac:dyDescent="0.35">
      <c r="B16" s="8" t="str">
        <f>HYPERLINK("#'Contents'!A1", "Return to Contents")</f>
        <v>Return to Contents</v>
      </c>
    </row>
  </sheetData>
  <mergeCells count="5">
    <mergeCell ref="D5:E5"/>
    <mergeCell ref="G5:L5"/>
    <mergeCell ref="N5:V5"/>
    <mergeCell ref="X5:Y5"/>
    <mergeCell ref="D2:W2"/>
  </mergeCells>
  <pageMargins left="0.7" right="0.7" top="0.75" bottom="0.75" header="0.3" footer="0.3"/>
  <pageSetup paperSize="9" orientation="portrait" horizontalDpi="300" verticalDpi="300"/>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B2:Y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s>
  <sheetData>
    <row r="2" spans="2:25" ht="40" customHeight="1" x14ac:dyDescent="0.35">
      <c r="D2" s="30" t="s">
        <v>231</v>
      </c>
      <c r="E2" s="26"/>
      <c r="F2" s="26"/>
      <c r="G2" s="26"/>
      <c r="H2" s="26"/>
      <c r="I2" s="26"/>
      <c r="J2" s="26"/>
      <c r="K2" s="26"/>
      <c r="L2" s="26"/>
      <c r="M2" s="26"/>
      <c r="N2" s="26"/>
      <c r="O2" s="26"/>
      <c r="P2" s="26"/>
      <c r="Q2" s="26"/>
      <c r="R2" s="26"/>
      <c r="S2" s="26"/>
      <c r="T2" s="26"/>
      <c r="U2" s="26"/>
      <c r="V2" s="26"/>
      <c r="W2" s="26"/>
    </row>
    <row r="5" spans="2:25" ht="30" customHeight="1" x14ac:dyDescent="0.35">
      <c r="B5" s="15"/>
      <c r="C5" s="15"/>
      <c r="D5" s="29" t="s">
        <v>38</v>
      </c>
      <c r="E5" s="29"/>
      <c r="F5" s="15"/>
      <c r="G5" s="29" t="s">
        <v>39</v>
      </c>
      <c r="H5" s="29"/>
      <c r="I5" s="29"/>
      <c r="J5" s="29"/>
      <c r="K5" s="29"/>
      <c r="L5" s="29"/>
      <c r="M5" s="15"/>
      <c r="N5" s="29" t="s">
        <v>40</v>
      </c>
      <c r="O5" s="29"/>
      <c r="P5" s="29"/>
      <c r="Q5" s="29"/>
      <c r="R5" s="29"/>
      <c r="S5" s="29"/>
      <c r="T5" s="29"/>
      <c r="U5" s="29"/>
      <c r="V5" s="29"/>
      <c r="W5" s="15"/>
      <c r="X5" s="29" t="s">
        <v>41</v>
      </c>
      <c r="Y5" s="29"/>
    </row>
    <row r="6" spans="2:25" ht="29"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row>
    <row r="7" spans="2:25" ht="30" customHeight="1" x14ac:dyDescent="0.35">
      <c r="B7" s="10" t="s">
        <v>19</v>
      </c>
      <c r="C7" s="10">
        <v>6838</v>
      </c>
      <c r="D7" s="10">
        <v>3283</v>
      </c>
      <c r="E7" s="10">
        <v>3541</v>
      </c>
      <c r="F7" s="10"/>
      <c r="G7" s="10">
        <v>635</v>
      </c>
      <c r="H7" s="10">
        <v>1075</v>
      </c>
      <c r="I7" s="10">
        <v>1093</v>
      </c>
      <c r="J7" s="10">
        <v>1228</v>
      </c>
      <c r="K7" s="10">
        <v>1156</v>
      </c>
      <c r="L7" s="10">
        <v>1651</v>
      </c>
      <c r="M7" s="10"/>
      <c r="N7" s="10">
        <v>208</v>
      </c>
      <c r="O7" s="10">
        <v>200</v>
      </c>
      <c r="P7" s="10">
        <v>1002</v>
      </c>
      <c r="Q7" s="10">
        <v>1000</v>
      </c>
      <c r="R7" s="10">
        <v>1004</v>
      </c>
      <c r="S7" s="10">
        <v>1006</v>
      </c>
      <c r="T7" s="10">
        <v>1006</v>
      </c>
      <c r="U7" s="10">
        <v>1007</v>
      </c>
      <c r="V7" s="10">
        <v>405</v>
      </c>
      <c r="W7" s="10"/>
      <c r="X7" s="10">
        <v>2650</v>
      </c>
      <c r="Y7" s="10">
        <v>4188</v>
      </c>
    </row>
    <row r="8" spans="2:25" ht="30" customHeight="1" x14ac:dyDescent="0.35">
      <c r="B8" s="11" t="s">
        <v>20</v>
      </c>
      <c r="C8" s="11">
        <v>6838</v>
      </c>
      <c r="D8" s="11">
        <v>3309</v>
      </c>
      <c r="E8" s="11">
        <v>3515</v>
      </c>
      <c r="F8" s="11"/>
      <c r="G8" s="11">
        <v>645</v>
      </c>
      <c r="H8" s="11">
        <v>1026</v>
      </c>
      <c r="I8" s="11">
        <v>1111</v>
      </c>
      <c r="J8" s="11">
        <v>1184</v>
      </c>
      <c r="K8" s="11">
        <v>1140</v>
      </c>
      <c r="L8" s="11">
        <v>1732</v>
      </c>
      <c r="M8" s="11"/>
      <c r="N8" s="11">
        <v>208</v>
      </c>
      <c r="O8" s="11">
        <v>200</v>
      </c>
      <c r="P8" s="11">
        <v>1002</v>
      </c>
      <c r="Q8" s="11">
        <v>1000</v>
      </c>
      <c r="R8" s="11">
        <v>1004</v>
      </c>
      <c r="S8" s="11">
        <v>1006</v>
      </c>
      <c r="T8" s="11">
        <v>1006</v>
      </c>
      <c r="U8" s="11">
        <v>1007</v>
      </c>
      <c r="V8" s="11">
        <v>405</v>
      </c>
      <c r="W8" s="11"/>
      <c r="X8" s="11">
        <v>2436</v>
      </c>
      <c r="Y8" s="11">
        <v>4402</v>
      </c>
    </row>
    <row r="9" spans="2:25" ht="29" x14ac:dyDescent="0.35">
      <c r="B9" s="18" t="s">
        <v>222</v>
      </c>
      <c r="C9" s="17">
        <v>5.7511812668059999E-2</v>
      </c>
      <c r="D9" s="17">
        <v>5.7907537339120199E-2</v>
      </c>
      <c r="E9" s="17">
        <v>5.70874123560247E-2</v>
      </c>
      <c r="F9" s="17"/>
      <c r="G9" s="17">
        <v>5.3125282564840899E-2</v>
      </c>
      <c r="H9" s="17">
        <v>5.0201810714484998E-2</v>
      </c>
      <c r="I9" s="17">
        <v>5.1988104991484499E-2</v>
      </c>
      <c r="J9" s="17">
        <v>4.7189212081220802E-2</v>
      </c>
      <c r="K9" s="17">
        <v>6.5584981208311299E-2</v>
      </c>
      <c r="L9" s="17">
        <v>6.8754876438770193E-2</v>
      </c>
      <c r="M9" s="17"/>
      <c r="N9" s="17">
        <v>5.8248558291139903E-2</v>
      </c>
      <c r="O9" s="17">
        <v>2.2411543970872898E-2</v>
      </c>
      <c r="P9" s="17">
        <v>8.8054352641248806E-2</v>
      </c>
      <c r="Q9" s="17">
        <v>6.4409247715999901E-2</v>
      </c>
      <c r="R9" s="17">
        <v>4.6185572236126099E-2</v>
      </c>
      <c r="S9" s="17">
        <v>4.5557316652482298E-2</v>
      </c>
      <c r="T9" s="17">
        <v>4.2707438134356401E-2</v>
      </c>
      <c r="U9" s="17">
        <v>6.04654139295462E-2</v>
      </c>
      <c r="V9" s="17">
        <v>6.9073400926539699E-2</v>
      </c>
      <c r="W9" s="17"/>
      <c r="X9" s="17">
        <v>5.2287438474590497E-2</v>
      </c>
      <c r="Y9" s="17">
        <v>6.0402806465505103E-2</v>
      </c>
    </row>
    <row r="10" spans="2:25" ht="29" x14ac:dyDescent="0.35">
      <c r="B10" s="18" t="s">
        <v>223</v>
      </c>
      <c r="C10" s="17">
        <v>0.93119894682722204</v>
      </c>
      <c r="D10" s="17">
        <v>0.93079333458153801</v>
      </c>
      <c r="E10" s="17">
        <v>0.93158748241922096</v>
      </c>
      <c r="F10" s="17"/>
      <c r="G10" s="17">
        <v>0.92707671859642504</v>
      </c>
      <c r="H10" s="17">
        <v>0.93820865166541301</v>
      </c>
      <c r="I10" s="17">
        <v>0.93643303668614497</v>
      </c>
      <c r="J10" s="17">
        <v>0.94190486107308902</v>
      </c>
      <c r="K10" s="17">
        <v>0.926479153219673</v>
      </c>
      <c r="L10" s="17">
        <v>0.92101674371522102</v>
      </c>
      <c r="M10" s="17"/>
      <c r="N10" s="17">
        <v>0.94175144170886005</v>
      </c>
      <c r="O10" s="17">
        <v>0.96669974072542697</v>
      </c>
      <c r="P10" s="17">
        <v>0.89031115330556398</v>
      </c>
      <c r="Q10" s="17">
        <v>0.91643407483677997</v>
      </c>
      <c r="R10" s="17">
        <v>0.94953498855187501</v>
      </c>
      <c r="S10" s="17">
        <v>0.94544880647838503</v>
      </c>
      <c r="T10" s="17">
        <v>0.95392413865466896</v>
      </c>
      <c r="U10" s="17">
        <v>0.92514474429520599</v>
      </c>
      <c r="V10" s="17">
        <v>0.92361785461693402</v>
      </c>
      <c r="W10" s="17"/>
      <c r="X10" s="17">
        <v>0.93901690640457303</v>
      </c>
      <c r="Y10" s="17">
        <v>0.92687274969627298</v>
      </c>
    </row>
    <row r="11" spans="2:25" x14ac:dyDescent="0.35">
      <c r="B11" s="18" t="s">
        <v>224</v>
      </c>
      <c r="C11" s="19">
        <v>1.1289240504717499E-2</v>
      </c>
      <c r="D11" s="19">
        <v>1.12991280793419E-2</v>
      </c>
      <c r="E11" s="19">
        <v>1.1325105224754399E-2</v>
      </c>
      <c r="F11" s="19"/>
      <c r="G11" s="19">
        <v>1.9797998838734301E-2</v>
      </c>
      <c r="H11" s="19">
        <v>1.15895376201018E-2</v>
      </c>
      <c r="I11" s="19">
        <v>1.1578858322370499E-2</v>
      </c>
      <c r="J11" s="19">
        <v>1.09059268456907E-2</v>
      </c>
      <c r="K11" s="19">
        <v>7.9358655720154405E-3</v>
      </c>
      <c r="L11" s="19">
        <v>1.0228379846008599E-2</v>
      </c>
      <c r="M11" s="19"/>
      <c r="N11" s="19">
        <v>0</v>
      </c>
      <c r="O11" s="19">
        <v>1.08887153036998E-2</v>
      </c>
      <c r="P11" s="19">
        <v>2.1634494053187299E-2</v>
      </c>
      <c r="Q11" s="19">
        <v>1.91566774472204E-2</v>
      </c>
      <c r="R11" s="19">
        <v>4.2794392119992596E-3</v>
      </c>
      <c r="S11" s="19">
        <v>8.9938768691328903E-3</v>
      </c>
      <c r="T11" s="19">
        <v>3.3684232109750401E-3</v>
      </c>
      <c r="U11" s="19">
        <v>1.4389841775248401E-2</v>
      </c>
      <c r="V11" s="19">
        <v>7.3087444565265898E-3</v>
      </c>
      <c r="W11" s="19"/>
      <c r="X11" s="19">
        <v>8.6956551208368198E-3</v>
      </c>
      <c r="Y11" s="19">
        <v>1.27244438382221E-2</v>
      </c>
    </row>
    <row r="12" spans="2:25" x14ac:dyDescent="0.35">
      <c r="B12" s="16"/>
    </row>
    <row r="13" spans="2:25" x14ac:dyDescent="0.35">
      <c r="B13" t="s">
        <v>51</v>
      </c>
    </row>
    <row r="14" spans="2:25" x14ac:dyDescent="0.35">
      <c r="B14" t="s">
        <v>52</v>
      </c>
    </row>
    <row r="16" spans="2:25" x14ac:dyDescent="0.35">
      <c r="B16" s="8" t="str">
        <f>HYPERLINK("#'Contents'!A1", "Return to Contents")</f>
        <v>Return to Contents</v>
      </c>
    </row>
  </sheetData>
  <mergeCells count="5">
    <mergeCell ref="D5:E5"/>
    <mergeCell ref="G5:L5"/>
    <mergeCell ref="N5:V5"/>
    <mergeCell ref="X5:Y5"/>
    <mergeCell ref="D2:W2"/>
  </mergeCells>
  <pageMargins left="0.7" right="0.7" top="0.75" bottom="0.75" header="0.3" footer="0.3"/>
  <pageSetup paperSize="9" orientation="portrait" horizontalDpi="300" verticalDpi="300"/>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B2:Y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s>
  <sheetData>
    <row r="2" spans="2:25" ht="40" customHeight="1" x14ac:dyDescent="0.35">
      <c r="D2" s="30" t="s">
        <v>232</v>
      </c>
      <c r="E2" s="26"/>
      <c r="F2" s="26"/>
      <c r="G2" s="26"/>
      <c r="H2" s="26"/>
      <c r="I2" s="26"/>
      <c r="J2" s="26"/>
      <c r="K2" s="26"/>
      <c r="L2" s="26"/>
      <c r="M2" s="26"/>
      <c r="N2" s="26"/>
      <c r="O2" s="26"/>
      <c r="P2" s="26"/>
      <c r="Q2" s="26"/>
      <c r="R2" s="26"/>
      <c r="S2" s="26"/>
      <c r="T2" s="26"/>
      <c r="U2" s="26"/>
      <c r="V2" s="26"/>
      <c r="W2" s="26"/>
    </row>
    <row r="5" spans="2:25" ht="30" customHeight="1" x14ac:dyDescent="0.35">
      <c r="B5" s="15"/>
      <c r="C5" s="15"/>
      <c r="D5" s="29" t="s">
        <v>38</v>
      </c>
      <c r="E5" s="29"/>
      <c r="F5" s="15"/>
      <c r="G5" s="29" t="s">
        <v>39</v>
      </c>
      <c r="H5" s="29"/>
      <c r="I5" s="29"/>
      <c r="J5" s="29"/>
      <c r="K5" s="29"/>
      <c r="L5" s="29"/>
      <c r="M5" s="15"/>
      <c r="N5" s="29" t="s">
        <v>40</v>
      </c>
      <c r="O5" s="29"/>
      <c r="P5" s="29"/>
      <c r="Q5" s="29"/>
      <c r="R5" s="29"/>
      <c r="S5" s="29"/>
      <c r="T5" s="29"/>
      <c r="U5" s="29"/>
      <c r="V5" s="29"/>
      <c r="W5" s="15"/>
      <c r="X5" s="29" t="s">
        <v>41</v>
      </c>
      <c r="Y5" s="29"/>
    </row>
    <row r="6" spans="2:25" ht="29"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row>
    <row r="7" spans="2:25" ht="30" customHeight="1" x14ac:dyDescent="0.35">
      <c r="B7" s="10" t="s">
        <v>19</v>
      </c>
      <c r="C7" s="10">
        <v>6838</v>
      </c>
      <c r="D7" s="10">
        <v>3283</v>
      </c>
      <c r="E7" s="10">
        <v>3541</v>
      </c>
      <c r="F7" s="10"/>
      <c r="G7" s="10">
        <v>635</v>
      </c>
      <c r="H7" s="10">
        <v>1075</v>
      </c>
      <c r="I7" s="10">
        <v>1093</v>
      </c>
      <c r="J7" s="10">
        <v>1228</v>
      </c>
      <c r="K7" s="10">
        <v>1156</v>
      </c>
      <c r="L7" s="10">
        <v>1651</v>
      </c>
      <c r="M7" s="10"/>
      <c r="N7" s="10">
        <v>208</v>
      </c>
      <c r="O7" s="10">
        <v>200</v>
      </c>
      <c r="P7" s="10">
        <v>1002</v>
      </c>
      <c r="Q7" s="10">
        <v>1000</v>
      </c>
      <c r="R7" s="10">
        <v>1004</v>
      </c>
      <c r="S7" s="10">
        <v>1006</v>
      </c>
      <c r="T7" s="10">
        <v>1006</v>
      </c>
      <c r="U7" s="10">
        <v>1007</v>
      </c>
      <c r="V7" s="10">
        <v>405</v>
      </c>
      <c r="W7" s="10"/>
      <c r="X7" s="10">
        <v>2650</v>
      </c>
      <c r="Y7" s="10">
        <v>4188</v>
      </c>
    </row>
    <row r="8" spans="2:25" ht="30" customHeight="1" x14ac:dyDescent="0.35">
      <c r="B8" s="11" t="s">
        <v>20</v>
      </c>
      <c r="C8" s="11">
        <v>6838</v>
      </c>
      <c r="D8" s="11">
        <v>3309</v>
      </c>
      <c r="E8" s="11">
        <v>3515</v>
      </c>
      <c r="F8" s="11"/>
      <c r="G8" s="11">
        <v>645</v>
      </c>
      <c r="H8" s="11">
        <v>1026</v>
      </c>
      <c r="I8" s="11">
        <v>1111</v>
      </c>
      <c r="J8" s="11">
        <v>1184</v>
      </c>
      <c r="K8" s="11">
        <v>1140</v>
      </c>
      <c r="L8" s="11">
        <v>1732</v>
      </c>
      <c r="M8" s="11"/>
      <c r="N8" s="11">
        <v>208</v>
      </c>
      <c r="O8" s="11">
        <v>200</v>
      </c>
      <c r="P8" s="11">
        <v>1002</v>
      </c>
      <c r="Q8" s="11">
        <v>1000</v>
      </c>
      <c r="R8" s="11">
        <v>1004</v>
      </c>
      <c r="S8" s="11">
        <v>1006</v>
      </c>
      <c r="T8" s="11">
        <v>1006</v>
      </c>
      <c r="U8" s="11">
        <v>1007</v>
      </c>
      <c r="V8" s="11">
        <v>405</v>
      </c>
      <c r="W8" s="11"/>
      <c r="X8" s="11">
        <v>2436</v>
      </c>
      <c r="Y8" s="11">
        <v>4402</v>
      </c>
    </row>
    <row r="9" spans="2:25" ht="29" x14ac:dyDescent="0.35">
      <c r="B9" s="18" t="s">
        <v>222</v>
      </c>
      <c r="C9" s="17">
        <v>0.209875527077232</v>
      </c>
      <c r="D9" s="17">
        <v>0.21505140666388001</v>
      </c>
      <c r="E9" s="17">
        <v>0.205023120487275</v>
      </c>
      <c r="F9" s="17"/>
      <c r="G9" s="17">
        <v>9.6428771171179706E-2</v>
      </c>
      <c r="H9" s="17">
        <v>0.118612965060385</v>
      </c>
      <c r="I9" s="17">
        <v>0.13546697722531301</v>
      </c>
      <c r="J9" s="17">
        <v>0.188721258097552</v>
      </c>
      <c r="K9" s="17">
        <v>0.26699561967890201</v>
      </c>
      <c r="L9" s="17">
        <v>0.33070819376538602</v>
      </c>
      <c r="M9" s="17"/>
      <c r="N9" s="17">
        <v>0.35699760794699698</v>
      </c>
      <c r="O9" s="17">
        <v>0.32978042269502</v>
      </c>
      <c r="P9" s="17">
        <v>0.26701948129136199</v>
      </c>
      <c r="Q9" s="17">
        <v>0.29677834000646403</v>
      </c>
      <c r="R9" s="17">
        <v>0.18132597020137001</v>
      </c>
      <c r="S9" s="17">
        <v>0.18079761425854499</v>
      </c>
      <c r="T9" s="17">
        <v>9.0891725735430098E-2</v>
      </c>
      <c r="U9" s="17">
        <v>0.173366258055834</v>
      </c>
      <c r="V9" s="17">
        <v>0.24848107388490201</v>
      </c>
      <c r="W9" s="17"/>
      <c r="X9" s="17">
        <v>0.188043341523426</v>
      </c>
      <c r="Y9" s="17">
        <v>0.221956727749959</v>
      </c>
    </row>
    <row r="10" spans="2:25" ht="29" x14ac:dyDescent="0.35">
      <c r="B10" s="18" t="s">
        <v>223</v>
      </c>
      <c r="C10" s="17">
        <v>0.76218952556004405</v>
      </c>
      <c r="D10" s="17">
        <v>0.75953985919279998</v>
      </c>
      <c r="E10" s="17">
        <v>0.764551974324303</v>
      </c>
      <c r="F10" s="17"/>
      <c r="G10" s="17">
        <v>0.87659993970475902</v>
      </c>
      <c r="H10" s="17">
        <v>0.86346803354758594</v>
      </c>
      <c r="I10" s="17">
        <v>0.84297992323181203</v>
      </c>
      <c r="J10" s="17">
        <v>0.78242417394939601</v>
      </c>
      <c r="K10" s="17">
        <v>0.70866738725475298</v>
      </c>
      <c r="L10" s="17">
        <v>0.629235471708393</v>
      </c>
      <c r="M10" s="17"/>
      <c r="N10" s="17">
        <v>0.61566653896396695</v>
      </c>
      <c r="O10" s="17">
        <v>0.59740487285028698</v>
      </c>
      <c r="P10" s="17">
        <v>0.68532256122739899</v>
      </c>
      <c r="Q10" s="17">
        <v>0.67704090756067303</v>
      </c>
      <c r="R10" s="17">
        <v>0.78523138043753005</v>
      </c>
      <c r="S10" s="17">
        <v>0.80525906587252105</v>
      </c>
      <c r="T10" s="17">
        <v>0.90050241941407205</v>
      </c>
      <c r="U10" s="17">
        <v>0.79888846383683099</v>
      </c>
      <c r="V10" s="17">
        <v>0.72031902210669996</v>
      </c>
      <c r="W10" s="17"/>
      <c r="X10" s="17">
        <v>0.79445368721481302</v>
      </c>
      <c r="Y10" s="17">
        <v>0.74433561851404995</v>
      </c>
    </row>
    <row r="11" spans="2:25" x14ac:dyDescent="0.35">
      <c r="B11" s="18" t="s">
        <v>224</v>
      </c>
      <c r="C11" s="19">
        <v>2.7934947362723402E-2</v>
      </c>
      <c r="D11" s="19">
        <v>2.5408734143319699E-2</v>
      </c>
      <c r="E11" s="19">
        <v>3.0424905188422301E-2</v>
      </c>
      <c r="F11" s="19"/>
      <c r="G11" s="19">
        <v>2.69712891240615E-2</v>
      </c>
      <c r="H11" s="19">
        <v>1.7919001392028101E-2</v>
      </c>
      <c r="I11" s="19">
        <v>2.1553099542874099E-2</v>
      </c>
      <c r="J11" s="19">
        <v>2.8854567953051798E-2</v>
      </c>
      <c r="K11" s="19">
        <v>2.4336993066345E-2</v>
      </c>
      <c r="L11" s="19">
        <v>4.0056334526220802E-2</v>
      </c>
      <c r="M11" s="19"/>
      <c r="N11" s="19">
        <v>2.7335853089036102E-2</v>
      </c>
      <c r="O11" s="19">
        <v>7.2814704454692805E-2</v>
      </c>
      <c r="P11" s="19">
        <v>4.7657957481238397E-2</v>
      </c>
      <c r="Q11" s="19">
        <v>2.61807524328635E-2</v>
      </c>
      <c r="R11" s="19">
        <v>3.3442649361100099E-2</v>
      </c>
      <c r="S11" s="19">
        <v>1.3943319868934E-2</v>
      </c>
      <c r="T11" s="19">
        <v>8.6058548504976008E-3</v>
      </c>
      <c r="U11" s="19">
        <v>2.7745278107334698E-2</v>
      </c>
      <c r="V11" s="19">
        <v>3.1199904008398002E-2</v>
      </c>
      <c r="W11" s="19"/>
      <c r="X11" s="19">
        <v>1.75029712617608E-2</v>
      </c>
      <c r="Y11" s="19">
        <v>3.3707653735991203E-2</v>
      </c>
    </row>
    <row r="12" spans="2:25" x14ac:dyDescent="0.35">
      <c r="B12" s="16"/>
    </row>
    <row r="13" spans="2:25" x14ac:dyDescent="0.35">
      <c r="B13" t="s">
        <v>51</v>
      </c>
    </row>
    <row r="14" spans="2:25" x14ac:dyDescent="0.35">
      <c r="B14" t="s">
        <v>52</v>
      </c>
    </row>
    <row r="16" spans="2:25" x14ac:dyDescent="0.35">
      <c r="B16" s="8" t="str">
        <f>HYPERLINK("#'Contents'!A1", "Return to Contents")</f>
        <v>Return to Contents</v>
      </c>
    </row>
  </sheetData>
  <mergeCells count="5">
    <mergeCell ref="D5:E5"/>
    <mergeCell ref="G5:L5"/>
    <mergeCell ref="N5:V5"/>
    <mergeCell ref="X5:Y5"/>
    <mergeCell ref="D2:W2"/>
  </mergeCells>
  <pageMargins left="0.7" right="0.7" top="0.75" bottom="0.75" header="0.3" footer="0.3"/>
  <pageSetup paperSize="9" orientation="portrait" horizontalDpi="300" verticalDpi="300"/>
  <drawing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B2:Y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s>
  <sheetData>
    <row r="2" spans="2:25" ht="40" customHeight="1" x14ac:dyDescent="0.35">
      <c r="D2" s="30" t="s">
        <v>233</v>
      </c>
      <c r="E2" s="26"/>
      <c r="F2" s="26"/>
      <c r="G2" s="26"/>
      <c r="H2" s="26"/>
      <c r="I2" s="26"/>
      <c r="J2" s="26"/>
      <c r="K2" s="26"/>
      <c r="L2" s="26"/>
      <c r="M2" s="26"/>
      <c r="N2" s="26"/>
      <c r="O2" s="26"/>
      <c r="P2" s="26"/>
      <c r="Q2" s="26"/>
      <c r="R2" s="26"/>
      <c r="S2" s="26"/>
      <c r="T2" s="26"/>
      <c r="U2" s="26"/>
      <c r="V2" s="26"/>
      <c r="W2" s="26"/>
    </row>
    <row r="5" spans="2:25" ht="30" customHeight="1" x14ac:dyDescent="0.35">
      <c r="B5" s="15"/>
      <c r="C5" s="15"/>
      <c r="D5" s="29" t="s">
        <v>38</v>
      </c>
      <c r="E5" s="29"/>
      <c r="F5" s="15"/>
      <c r="G5" s="29" t="s">
        <v>39</v>
      </c>
      <c r="H5" s="29"/>
      <c r="I5" s="29"/>
      <c r="J5" s="29"/>
      <c r="K5" s="29"/>
      <c r="L5" s="29"/>
      <c r="M5" s="15"/>
      <c r="N5" s="29" t="s">
        <v>40</v>
      </c>
      <c r="O5" s="29"/>
      <c r="P5" s="29"/>
      <c r="Q5" s="29"/>
      <c r="R5" s="29"/>
      <c r="S5" s="29"/>
      <c r="T5" s="29"/>
      <c r="U5" s="29"/>
      <c r="V5" s="29"/>
      <c r="W5" s="15"/>
      <c r="X5" s="29" t="s">
        <v>41</v>
      </c>
      <c r="Y5" s="29"/>
    </row>
    <row r="6" spans="2:25" ht="29"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row>
    <row r="7" spans="2:25" ht="30" customHeight="1" x14ac:dyDescent="0.35">
      <c r="B7" s="10" t="s">
        <v>19</v>
      </c>
      <c r="C7" s="10">
        <v>6838</v>
      </c>
      <c r="D7" s="10">
        <v>3283</v>
      </c>
      <c r="E7" s="10">
        <v>3541</v>
      </c>
      <c r="F7" s="10"/>
      <c r="G7" s="10">
        <v>635</v>
      </c>
      <c r="H7" s="10">
        <v>1075</v>
      </c>
      <c r="I7" s="10">
        <v>1093</v>
      </c>
      <c r="J7" s="10">
        <v>1228</v>
      </c>
      <c r="K7" s="10">
        <v>1156</v>
      </c>
      <c r="L7" s="10">
        <v>1651</v>
      </c>
      <c r="M7" s="10"/>
      <c r="N7" s="10">
        <v>208</v>
      </c>
      <c r="O7" s="10">
        <v>200</v>
      </c>
      <c r="P7" s="10">
        <v>1002</v>
      </c>
      <c r="Q7" s="10">
        <v>1000</v>
      </c>
      <c r="R7" s="10">
        <v>1004</v>
      </c>
      <c r="S7" s="10">
        <v>1006</v>
      </c>
      <c r="T7" s="10">
        <v>1006</v>
      </c>
      <c r="U7" s="10">
        <v>1007</v>
      </c>
      <c r="V7" s="10">
        <v>405</v>
      </c>
      <c r="W7" s="10"/>
      <c r="X7" s="10">
        <v>2650</v>
      </c>
      <c r="Y7" s="10">
        <v>4188</v>
      </c>
    </row>
    <row r="8" spans="2:25" ht="30" customHeight="1" x14ac:dyDescent="0.35">
      <c r="B8" s="11" t="s">
        <v>20</v>
      </c>
      <c r="C8" s="11">
        <v>6838</v>
      </c>
      <c r="D8" s="11">
        <v>3309</v>
      </c>
      <c r="E8" s="11">
        <v>3515</v>
      </c>
      <c r="F8" s="11"/>
      <c r="G8" s="11">
        <v>645</v>
      </c>
      <c r="H8" s="11">
        <v>1026</v>
      </c>
      <c r="I8" s="11">
        <v>1111</v>
      </c>
      <c r="J8" s="11">
        <v>1184</v>
      </c>
      <c r="K8" s="11">
        <v>1140</v>
      </c>
      <c r="L8" s="11">
        <v>1732</v>
      </c>
      <c r="M8" s="11"/>
      <c r="N8" s="11">
        <v>208</v>
      </c>
      <c r="O8" s="11">
        <v>200</v>
      </c>
      <c r="P8" s="11">
        <v>1002</v>
      </c>
      <c r="Q8" s="11">
        <v>1000</v>
      </c>
      <c r="R8" s="11">
        <v>1004</v>
      </c>
      <c r="S8" s="11">
        <v>1006</v>
      </c>
      <c r="T8" s="11">
        <v>1006</v>
      </c>
      <c r="U8" s="11">
        <v>1007</v>
      </c>
      <c r="V8" s="11">
        <v>405</v>
      </c>
      <c r="W8" s="11"/>
      <c r="X8" s="11">
        <v>2436</v>
      </c>
      <c r="Y8" s="11">
        <v>4402</v>
      </c>
    </row>
    <row r="9" spans="2:25" ht="29" x14ac:dyDescent="0.35">
      <c r="B9" s="18" t="s">
        <v>222</v>
      </c>
      <c r="C9" s="17">
        <v>0.27870172999433501</v>
      </c>
      <c r="D9" s="17">
        <v>0.26364757681121598</v>
      </c>
      <c r="E9" s="17">
        <v>0.29256494312918302</v>
      </c>
      <c r="F9" s="17"/>
      <c r="G9" s="17">
        <v>0.116816956213076</v>
      </c>
      <c r="H9" s="17">
        <v>0.175531234769572</v>
      </c>
      <c r="I9" s="17">
        <v>0.190884862392217</v>
      </c>
      <c r="J9" s="17">
        <v>0.26261148059352901</v>
      </c>
      <c r="K9" s="17">
        <v>0.35616883915398501</v>
      </c>
      <c r="L9" s="17">
        <v>0.41635727237637798</v>
      </c>
      <c r="M9" s="17"/>
      <c r="N9" s="17">
        <v>0.34881308866226002</v>
      </c>
      <c r="O9" s="17">
        <v>0.35781132467167398</v>
      </c>
      <c r="P9" s="17">
        <v>0.30887877972944899</v>
      </c>
      <c r="Q9" s="17">
        <v>0.33594623111376798</v>
      </c>
      <c r="R9" s="17">
        <v>0.194932882558943</v>
      </c>
      <c r="S9" s="17">
        <v>0.28482911492410601</v>
      </c>
      <c r="T9" s="17">
        <v>0.239407957871653</v>
      </c>
      <c r="U9" s="17">
        <v>0.238645607909758</v>
      </c>
      <c r="V9" s="17">
        <v>0.37726675910041202</v>
      </c>
      <c r="W9" s="17"/>
      <c r="X9" s="17">
        <v>0.21092729070479599</v>
      </c>
      <c r="Y9" s="17">
        <v>0.316205836008849</v>
      </c>
    </row>
    <row r="10" spans="2:25" ht="29" x14ac:dyDescent="0.35">
      <c r="B10" s="18" t="s">
        <v>223</v>
      </c>
      <c r="C10" s="17">
        <v>0.69338150377157604</v>
      </c>
      <c r="D10" s="17">
        <v>0.709689253093161</v>
      </c>
      <c r="E10" s="17">
        <v>0.67822644803754495</v>
      </c>
      <c r="F10" s="17"/>
      <c r="G10" s="17">
        <v>0.86643386315502902</v>
      </c>
      <c r="H10" s="17">
        <v>0.807346605813695</v>
      </c>
      <c r="I10" s="17">
        <v>0.78252605314557899</v>
      </c>
      <c r="J10" s="17">
        <v>0.70999694898939003</v>
      </c>
      <c r="K10" s="17">
        <v>0.61276544099215802</v>
      </c>
      <c r="L10" s="17">
        <v>0.54604190087686399</v>
      </c>
      <c r="M10" s="17"/>
      <c r="N10" s="17">
        <v>0.63072319187522996</v>
      </c>
      <c r="O10" s="17">
        <v>0.61826929899146499</v>
      </c>
      <c r="P10" s="17">
        <v>0.64045537142509701</v>
      </c>
      <c r="Q10" s="17">
        <v>0.63532550261377396</v>
      </c>
      <c r="R10" s="17">
        <v>0.78227742434791303</v>
      </c>
      <c r="S10" s="17">
        <v>0.69868918568107696</v>
      </c>
      <c r="T10" s="17">
        <v>0.73770916688787902</v>
      </c>
      <c r="U10" s="17">
        <v>0.72939433367627704</v>
      </c>
      <c r="V10" s="17">
        <v>0.60373650261306699</v>
      </c>
      <c r="W10" s="17"/>
      <c r="X10" s="17">
        <v>0.76641289126279999</v>
      </c>
      <c r="Y10" s="17">
        <v>0.65296837859385704</v>
      </c>
    </row>
    <row r="11" spans="2:25" x14ac:dyDescent="0.35">
      <c r="B11" s="18" t="s">
        <v>224</v>
      </c>
      <c r="C11" s="19">
        <v>2.7916766234088501E-2</v>
      </c>
      <c r="D11" s="19">
        <v>2.6663170095622701E-2</v>
      </c>
      <c r="E11" s="19">
        <v>2.92086088332719E-2</v>
      </c>
      <c r="F11" s="19"/>
      <c r="G11" s="19">
        <v>1.6749180631895001E-2</v>
      </c>
      <c r="H11" s="19">
        <v>1.7122159416733E-2</v>
      </c>
      <c r="I11" s="19">
        <v>2.6589084462204499E-2</v>
      </c>
      <c r="J11" s="19">
        <v>2.7391570417081301E-2</v>
      </c>
      <c r="K11" s="19">
        <v>3.1065719853857102E-2</v>
      </c>
      <c r="L11" s="19">
        <v>3.7600826746758298E-2</v>
      </c>
      <c r="M11" s="19"/>
      <c r="N11" s="19">
        <v>2.0463719462510001E-2</v>
      </c>
      <c r="O11" s="19">
        <v>2.39193763368604E-2</v>
      </c>
      <c r="P11" s="19">
        <v>5.06658488454544E-2</v>
      </c>
      <c r="Q11" s="19">
        <v>2.8728266272457999E-2</v>
      </c>
      <c r="R11" s="19">
        <v>2.27896930931447E-2</v>
      </c>
      <c r="S11" s="19">
        <v>1.6481699394817799E-2</v>
      </c>
      <c r="T11" s="19">
        <v>2.2882875240468399E-2</v>
      </c>
      <c r="U11" s="19">
        <v>3.1960058413965799E-2</v>
      </c>
      <c r="V11" s="19">
        <v>1.8996738286521601E-2</v>
      </c>
      <c r="W11" s="19"/>
      <c r="X11" s="19">
        <v>2.2659818032404001E-2</v>
      </c>
      <c r="Y11" s="19">
        <v>3.0825785397294199E-2</v>
      </c>
    </row>
    <row r="12" spans="2:25" x14ac:dyDescent="0.35">
      <c r="B12" s="16"/>
    </row>
    <row r="13" spans="2:25" x14ac:dyDescent="0.35">
      <c r="B13" t="s">
        <v>51</v>
      </c>
    </row>
    <row r="14" spans="2:25" x14ac:dyDescent="0.35">
      <c r="B14" t="s">
        <v>52</v>
      </c>
    </row>
    <row r="16" spans="2:25" x14ac:dyDescent="0.35">
      <c r="B16" s="8" t="str">
        <f>HYPERLINK("#'Contents'!A1", "Return to Contents")</f>
        <v>Return to Contents</v>
      </c>
    </row>
  </sheetData>
  <mergeCells count="5">
    <mergeCell ref="D5:E5"/>
    <mergeCell ref="G5:L5"/>
    <mergeCell ref="N5:V5"/>
    <mergeCell ref="X5:Y5"/>
    <mergeCell ref="D2:W2"/>
  </mergeCells>
  <pageMargins left="0.7" right="0.7" top="0.75" bottom="0.75" header="0.3" footer="0.3"/>
  <pageSetup paperSize="9" orientation="portrait" horizontalDpi="300" verticalDpi="300"/>
  <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B2:Y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s>
  <sheetData>
    <row r="2" spans="2:25" ht="40" customHeight="1" x14ac:dyDescent="0.35">
      <c r="D2" s="30" t="s">
        <v>234</v>
      </c>
      <c r="E2" s="26"/>
      <c r="F2" s="26"/>
      <c r="G2" s="26"/>
      <c r="H2" s="26"/>
      <c r="I2" s="26"/>
      <c r="J2" s="26"/>
      <c r="K2" s="26"/>
      <c r="L2" s="26"/>
      <c r="M2" s="26"/>
      <c r="N2" s="26"/>
      <c r="O2" s="26"/>
      <c r="P2" s="26"/>
      <c r="Q2" s="26"/>
      <c r="R2" s="26"/>
      <c r="S2" s="26"/>
      <c r="T2" s="26"/>
      <c r="U2" s="26"/>
      <c r="V2" s="26"/>
      <c r="W2" s="26"/>
    </row>
    <row r="5" spans="2:25" ht="30" customHeight="1" x14ac:dyDescent="0.35">
      <c r="B5" s="15"/>
      <c r="C5" s="15"/>
      <c r="D5" s="29" t="s">
        <v>38</v>
      </c>
      <c r="E5" s="29"/>
      <c r="F5" s="15"/>
      <c r="G5" s="29" t="s">
        <v>39</v>
      </c>
      <c r="H5" s="29"/>
      <c r="I5" s="29"/>
      <c r="J5" s="29"/>
      <c r="K5" s="29"/>
      <c r="L5" s="29"/>
      <c r="M5" s="15"/>
      <c r="N5" s="29" t="s">
        <v>40</v>
      </c>
      <c r="O5" s="29"/>
      <c r="P5" s="29"/>
      <c r="Q5" s="29"/>
      <c r="R5" s="29"/>
      <c r="S5" s="29"/>
      <c r="T5" s="29"/>
      <c r="U5" s="29"/>
      <c r="V5" s="29"/>
      <c r="W5" s="15"/>
      <c r="X5" s="29" t="s">
        <v>41</v>
      </c>
      <c r="Y5" s="29"/>
    </row>
    <row r="6" spans="2:25" ht="29"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row>
    <row r="7" spans="2:25" ht="30" customHeight="1" x14ac:dyDescent="0.35">
      <c r="B7" s="10" t="s">
        <v>19</v>
      </c>
      <c r="C7" s="10">
        <v>6838</v>
      </c>
      <c r="D7" s="10">
        <v>3283</v>
      </c>
      <c r="E7" s="10">
        <v>3541</v>
      </c>
      <c r="F7" s="10"/>
      <c r="G7" s="10">
        <v>635</v>
      </c>
      <c r="H7" s="10">
        <v>1075</v>
      </c>
      <c r="I7" s="10">
        <v>1093</v>
      </c>
      <c r="J7" s="10">
        <v>1228</v>
      </c>
      <c r="K7" s="10">
        <v>1156</v>
      </c>
      <c r="L7" s="10">
        <v>1651</v>
      </c>
      <c r="M7" s="10"/>
      <c r="N7" s="10">
        <v>208</v>
      </c>
      <c r="O7" s="10">
        <v>200</v>
      </c>
      <c r="P7" s="10">
        <v>1002</v>
      </c>
      <c r="Q7" s="10">
        <v>1000</v>
      </c>
      <c r="R7" s="10">
        <v>1004</v>
      </c>
      <c r="S7" s="10">
        <v>1006</v>
      </c>
      <c r="T7" s="10">
        <v>1006</v>
      </c>
      <c r="U7" s="10">
        <v>1007</v>
      </c>
      <c r="V7" s="10">
        <v>405</v>
      </c>
      <c r="W7" s="10"/>
      <c r="X7" s="10">
        <v>2650</v>
      </c>
      <c r="Y7" s="10">
        <v>4188</v>
      </c>
    </row>
    <row r="8" spans="2:25" ht="30" customHeight="1" x14ac:dyDescent="0.35">
      <c r="B8" s="11" t="s">
        <v>20</v>
      </c>
      <c r="C8" s="11">
        <v>6838</v>
      </c>
      <c r="D8" s="11">
        <v>3309</v>
      </c>
      <c r="E8" s="11">
        <v>3515</v>
      </c>
      <c r="F8" s="11"/>
      <c r="G8" s="11">
        <v>645</v>
      </c>
      <c r="H8" s="11">
        <v>1026</v>
      </c>
      <c r="I8" s="11">
        <v>1111</v>
      </c>
      <c r="J8" s="11">
        <v>1184</v>
      </c>
      <c r="K8" s="11">
        <v>1140</v>
      </c>
      <c r="L8" s="11">
        <v>1732</v>
      </c>
      <c r="M8" s="11"/>
      <c r="N8" s="11">
        <v>208</v>
      </c>
      <c r="O8" s="11">
        <v>200</v>
      </c>
      <c r="P8" s="11">
        <v>1002</v>
      </c>
      <c r="Q8" s="11">
        <v>1000</v>
      </c>
      <c r="R8" s="11">
        <v>1004</v>
      </c>
      <c r="S8" s="11">
        <v>1006</v>
      </c>
      <c r="T8" s="11">
        <v>1006</v>
      </c>
      <c r="U8" s="11">
        <v>1007</v>
      </c>
      <c r="V8" s="11">
        <v>405</v>
      </c>
      <c r="W8" s="11"/>
      <c r="X8" s="11">
        <v>2436</v>
      </c>
      <c r="Y8" s="11">
        <v>4402</v>
      </c>
    </row>
    <row r="9" spans="2:25" ht="29" x14ac:dyDescent="0.35">
      <c r="B9" s="18" t="s">
        <v>222</v>
      </c>
      <c r="C9" s="17">
        <v>0.57332687516727299</v>
      </c>
      <c r="D9" s="17">
        <v>0.54865660753879297</v>
      </c>
      <c r="E9" s="17">
        <v>0.59737765226436301</v>
      </c>
      <c r="F9" s="17"/>
      <c r="G9" s="17">
        <v>0.46235668206018299</v>
      </c>
      <c r="H9" s="17">
        <v>0.473921194471072</v>
      </c>
      <c r="I9" s="17">
        <v>0.50769814784549605</v>
      </c>
      <c r="J9" s="17">
        <v>0.53287186925982399</v>
      </c>
      <c r="K9" s="17">
        <v>0.64512432300506395</v>
      </c>
      <c r="L9" s="17">
        <v>0.695954878888008</v>
      </c>
      <c r="M9" s="17"/>
      <c r="N9" s="17">
        <v>0.61053727289109805</v>
      </c>
      <c r="O9" s="17">
        <v>0.58895468131734696</v>
      </c>
      <c r="P9" s="17">
        <v>0.59747091420892195</v>
      </c>
      <c r="Q9" s="17">
        <v>0.62371398240015197</v>
      </c>
      <c r="R9" s="17">
        <v>0.564366335656176</v>
      </c>
      <c r="S9" s="17">
        <v>0.71724450861696698</v>
      </c>
      <c r="T9" s="17">
        <v>0.41331489836506402</v>
      </c>
      <c r="U9" s="17">
        <v>0.49698639820905499</v>
      </c>
      <c r="V9" s="17">
        <v>0.61435747533891405</v>
      </c>
      <c r="W9" s="17"/>
      <c r="X9" s="17">
        <v>0.51263044641870203</v>
      </c>
      <c r="Y9" s="17">
        <v>0.60691424707844299</v>
      </c>
    </row>
    <row r="10" spans="2:25" ht="29" x14ac:dyDescent="0.35">
      <c r="B10" s="18" t="s">
        <v>223</v>
      </c>
      <c r="C10" s="17">
        <v>0.37011838719271001</v>
      </c>
      <c r="D10" s="17">
        <v>0.39957673207053501</v>
      </c>
      <c r="E10" s="17">
        <v>0.34164822423164798</v>
      </c>
      <c r="F10" s="17"/>
      <c r="G10" s="17">
        <v>0.48979340839066898</v>
      </c>
      <c r="H10" s="17">
        <v>0.47764076234727798</v>
      </c>
      <c r="I10" s="17">
        <v>0.45121371742937399</v>
      </c>
      <c r="J10" s="17">
        <v>0.40333484009124199</v>
      </c>
      <c r="K10" s="17">
        <v>0.299138942816215</v>
      </c>
      <c r="L10" s="17">
        <v>0.23393288655199801</v>
      </c>
      <c r="M10" s="17"/>
      <c r="N10" s="17">
        <v>0.34119813814524602</v>
      </c>
      <c r="O10" s="17">
        <v>0.36657788501374799</v>
      </c>
      <c r="P10" s="17">
        <v>0.32700710513611603</v>
      </c>
      <c r="Q10" s="17">
        <v>0.33234930259345502</v>
      </c>
      <c r="R10" s="17">
        <v>0.34794759499720501</v>
      </c>
      <c r="S10" s="17">
        <v>0.238862646397803</v>
      </c>
      <c r="T10" s="17">
        <v>0.54245970087100004</v>
      </c>
      <c r="U10" s="17">
        <v>0.44580302287714002</v>
      </c>
      <c r="V10" s="17">
        <v>0.35136051649397398</v>
      </c>
      <c r="W10" s="17"/>
      <c r="X10" s="17">
        <v>0.449794871438223</v>
      </c>
      <c r="Y10" s="17">
        <v>0.32602808790979598</v>
      </c>
    </row>
    <row r="11" spans="2:25" x14ac:dyDescent="0.35">
      <c r="B11" s="18" t="s">
        <v>224</v>
      </c>
      <c r="C11" s="19">
        <v>5.6554737640016901E-2</v>
      </c>
      <c r="D11" s="19">
        <v>5.1766660390672903E-2</v>
      </c>
      <c r="E11" s="19">
        <v>6.0974123503989203E-2</v>
      </c>
      <c r="F11" s="19"/>
      <c r="G11" s="19">
        <v>4.7849909549148299E-2</v>
      </c>
      <c r="H11" s="19">
        <v>4.8438043181649501E-2</v>
      </c>
      <c r="I11" s="19">
        <v>4.1088134725129503E-2</v>
      </c>
      <c r="J11" s="19">
        <v>6.3793290648933798E-2</v>
      </c>
      <c r="K11" s="19">
        <v>5.5736734178720701E-2</v>
      </c>
      <c r="L11" s="19">
        <v>7.0112234559994394E-2</v>
      </c>
      <c r="M11" s="19"/>
      <c r="N11" s="19">
        <v>4.8264588963655902E-2</v>
      </c>
      <c r="O11" s="19">
        <v>4.4467433668905203E-2</v>
      </c>
      <c r="P11" s="19">
        <v>7.5521980654962503E-2</v>
      </c>
      <c r="Q11" s="19">
        <v>4.3936715006392402E-2</v>
      </c>
      <c r="R11" s="19">
        <v>8.76860693466196E-2</v>
      </c>
      <c r="S11" s="19">
        <v>4.3892844985229398E-2</v>
      </c>
      <c r="T11" s="19">
        <v>4.4225400763936301E-2</v>
      </c>
      <c r="U11" s="19">
        <v>5.7210578913805599E-2</v>
      </c>
      <c r="V11" s="19">
        <v>3.4282008167112001E-2</v>
      </c>
      <c r="W11" s="19"/>
      <c r="X11" s="19">
        <v>3.7574682143074897E-2</v>
      </c>
      <c r="Y11" s="19">
        <v>6.7057665011760401E-2</v>
      </c>
    </row>
    <row r="12" spans="2:25" x14ac:dyDescent="0.35">
      <c r="B12" s="16"/>
    </row>
    <row r="13" spans="2:25" x14ac:dyDescent="0.35">
      <c r="B13" t="s">
        <v>51</v>
      </c>
    </row>
    <row r="14" spans="2:25" x14ac:dyDescent="0.35">
      <c r="B14" t="s">
        <v>52</v>
      </c>
    </row>
    <row r="16" spans="2:25" x14ac:dyDescent="0.35">
      <c r="B16" s="8" t="str">
        <f>HYPERLINK("#'Contents'!A1", "Return to Contents")</f>
        <v>Return to Contents</v>
      </c>
    </row>
  </sheetData>
  <mergeCells count="5">
    <mergeCell ref="D5:E5"/>
    <mergeCell ref="G5:L5"/>
    <mergeCell ref="N5:V5"/>
    <mergeCell ref="X5:Y5"/>
    <mergeCell ref="D2:W2"/>
  </mergeCells>
  <pageMargins left="0.7" right="0.7" top="0.75" bottom="0.75" header="0.3" footer="0.3"/>
  <pageSetup paperSize="9" orientation="portrait" horizontalDpi="300" verticalDpi="300"/>
  <drawing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B2:Y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s>
  <sheetData>
    <row r="2" spans="2:25" ht="40" customHeight="1" x14ac:dyDescent="0.35">
      <c r="D2" s="30" t="s">
        <v>235</v>
      </c>
      <c r="E2" s="26"/>
      <c r="F2" s="26"/>
      <c r="G2" s="26"/>
      <c r="H2" s="26"/>
      <c r="I2" s="26"/>
      <c r="J2" s="26"/>
      <c r="K2" s="26"/>
      <c r="L2" s="26"/>
      <c r="M2" s="26"/>
      <c r="N2" s="26"/>
      <c r="O2" s="26"/>
      <c r="P2" s="26"/>
      <c r="Q2" s="26"/>
      <c r="R2" s="26"/>
      <c r="S2" s="26"/>
      <c r="T2" s="26"/>
      <c r="U2" s="26"/>
      <c r="V2" s="26"/>
      <c r="W2" s="26"/>
    </row>
    <row r="5" spans="2:25" ht="30" customHeight="1" x14ac:dyDescent="0.35">
      <c r="B5" s="15"/>
      <c r="C5" s="15"/>
      <c r="D5" s="29" t="s">
        <v>38</v>
      </c>
      <c r="E5" s="29"/>
      <c r="F5" s="15"/>
      <c r="G5" s="29" t="s">
        <v>39</v>
      </c>
      <c r="H5" s="29"/>
      <c r="I5" s="29"/>
      <c r="J5" s="29"/>
      <c r="K5" s="29"/>
      <c r="L5" s="29"/>
      <c r="M5" s="15"/>
      <c r="N5" s="29" t="s">
        <v>40</v>
      </c>
      <c r="O5" s="29"/>
      <c r="P5" s="29"/>
      <c r="Q5" s="29"/>
      <c r="R5" s="29"/>
      <c r="S5" s="29"/>
      <c r="T5" s="29"/>
      <c r="U5" s="29"/>
      <c r="V5" s="29"/>
      <c r="W5" s="15"/>
      <c r="X5" s="29" t="s">
        <v>41</v>
      </c>
      <c r="Y5" s="29"/>
    </row>
    <row r="6" spans="2:25" ht="29"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row>
    <row r="7" spans="2:25" ht="30" customHeight="1" x14ac:dyDescent="0.35">
      <c r="B7" s="10" t="s">
        <v>19</v>
      </c>
      <c r="C7" s="10">
        <v>6838</v>
      </c>
      <c r="D7" s="10">
        <v>3283</v>
      </c>
      <c r="E7" s="10">
        <v>3541</v>
      </c>
      <c r="F7" s="10"/>
      <c r="G7" s="10">
        <v>635</v>
      </c>
      <c r="H7" s="10">
        <v>1075</v>
      </c>
      <c r="I7" s="10">
        <v>1093</v>
      </c>
      <c r="J7" s="10">
        <v>1228</v>
      </c>
      <c r="K7" s="10">
        <v>1156</v>
      </c>
      <c r="L7" s="10">
        <v>1651</v>
      </c>
      <c r="M7" s="10"/>
      <c r="N7" s="10">
        <v>208</v>
      </c>
      <c r="O7" s="10">
        <v>200</v>
      </c>
      <c r="P7" s="10">
        <v>1002</v>
      </c>
      <c r="Q7" s="10">
        <v>1000</v>
      </c>
      <c r="R7" s="10">
        <v>1004</v>
      </c>
      <c r="S7" s="10">
        <v>1006</v>
      </c>
      <c r="T7" s="10">
        <v>1006</v>
      </c>
      <c r="U7" s="10">
        <v>1007</v>
      </c>
      <c r="V7" s="10">
        <v>405</v>
      </c>
      <c r="W7" s="10"/>
      <c r="X7" s="10">
        <v>2650</v>
      </c>
      <c r="Y7" s="10">
        <v>4188</v>
      </c>
    </row>
    <row r="8" spans="2:25" ht="30" customHeight="1" x14ac:dyDescent="0.35">
      <c r="B8" s="11" t="s">
        <v>20</v>
      </c>
      <c r="C8" s="11">
        <v>6838</v>
      </c>
      <c r="D8" s="11">
        <v>3309</v>
      </c>
      <c r="E8" s="11">
        <v>3515</v>
      </c>
      <c r="F8" s="11"/>
      <c r="G8" s="11">
        <v>645</v>
      </c>
      <c r="H8" s="11">
        <v>1026</v>
      </c>
      <c r="I8" s="11">
        <v>1111</v>
      </c>
      <c r="J8" s="11">
        <v>1184</v>
      </c>
      <c r="K8" s="11">
        <v>1140</v>
      </c>
      <c r="L8" s="11">
        <v>1732</v>
      </c>
      <c r="M8" s="11"/>
      <c r="N8" s="11">
        <v>208</v>
      </c>
      <c r="O8" s="11">
        <v>200</v>
      </c>
      <c r="P8" s="11">
        <v>1002</v>
      </c>
      <c r="Q8" s="11">
        <v>1000</v>
      </c>
      <c r="R8" s="11">
        <v>1004</v>
      </c>
      <c r="S8" s="11">
        <v>1006</v>
      </c>
      <c r="T8" s="11">
        <v>1006</v>
      </c>
      <c r="U8" s="11">
        <v>1007</v>
      </c>
      <c r="V8" s="11">
        <v>405</v>
      </c>
      <c r="W8" s="11"/>
      <c r="X8" s="11">
        <v>2436</v>
      </c>
      <c r="Y8" s="11">
        <v>4402</v>
      </c>
    </row>
    <row r="9" spans="2:25" ht="29" x14ac:dyDescent="0.35">
      <c r="B9" s="18" t="s">
        <v>222</v>
      </c>
      <c r="C9" s="17">
        <v>0.32173727759444098</v>
      </c>
      <c r="D9" s="17">
        <v>0.266971498594404</v>
      </c>
      <c r="E9" s="17">
        <v>0.37315182143334003</v>
      </c>
      <c r="F9" s="17"/>
      <c r="G9" s="17">
        <v>0.21904236847126199</v>
      </c>
      <c r="H9" s="17">
        <v>0.221071342701957</v>
      </c>
      <c r="I9" s="17">
        <v>0.25487901714654698</v>
      </c>
      <c r="J9" s="17">
        <v>0.296492082449617</v>
      </c>
      <c r="K9" s="17">
        <v>0.37142705152317901</v>
      </c>
      <c r="L9" s="17">
        <v>0.44697849202358497</v>
      </c>
      <c r="M9" s="17"/>
      <c r="N9" s="17">
        <v>0.40472744418568402</v>
      </c>
      <c r="O9" s="17">
        <v>0.283641792637644</v>
      </c>
      <c r="P9" s="17">
        <v>0.34988037469313199</v>
      </c>
      <c r="Q9" s="17">
        <v>0.36014029131729902</v>
      </c>
      <c r="R9" s="17">
        <v>0.285745511376018</v>
      </c>
      <c r="S9" s="17">
        <v>0.332950521538045</v>
      </c>
      <c r="T9" s="17">
        <v>0.24404861485628701</v>
      </c>
      <c r="U9" s="17">
        <v>0.32365529902717499</v>
      </c>
      <c r="V9" s="17">
        <v>0.38305407347713</v>
      </c>
      <c r="W9" s="17"/>
      <c r="X9" s="17">
        <v>0.22128727011421501</v>
      </c>
      <c r="Y9" s="17">
        <v>0.377322949260464</v>
      </c>
    </row>
    <row r="10" spans="2:25" ht="29" x14ac:dyDescent="0.35">
      <c r="B10" s="18" t="s">
        <v>223</v>
      </c>
      <c r="C10" s="17">
        <v>0.64445236042271803</v>
      </c>
      <c r="D10" s="17">
        <v>0.70648164844080896</v>
      </c>
      <c r="E10" s="17">
        <v>0.58606465573034405</v>
      </c>
      <c r="F10" s="17"/>
      <c r="G10" s="17">
        <v>0.76328074752391195</v>
      </c>
      <c r="H10" s="17">
        <v>0.75335245085110503</v>
      </c>
      <c r="I10" s="17">
        <v>0.71497699578252505</v>
      </c>
      <c r="J10" s="17">
        <v>0.66598270078324895</v>
      </c>
      <c r="K10" s="17">
        <v>0.59321107674984097</v>
      </c>
      <c r="L10" s="17">
        <v>0.50954059822159303</v>
      </c>
      <c r="M10" s="17"/>
      <c r="N10" s="17">
        <v>0.58622435479498702</v>
      </c>
      <c r="O10" s="17">
        <v>0.67200585965853499</v>
      </c>
      <c r="P10" s="17">
        <v>0.59486151430120204</v>
      </c>
      <c r="Q10" s="17">
        <v>0.61201382842528695</v>
      </c>
      <c r="R10" s="17">
        <v>0.67938548304773405</v>
      </c>
      <c r="S10" s="17">
        <v>0.639763001749586</v>
      </c>
      <c r="T10" s="17">
        <v>0.72692788085378501</v>
      </c>
      <c r="U10" s="17">
        <v>0.63797876022442801</v>
      </c>
      <c r="V10" s="17">
        <v>0.59981647570734997</v>
      </c>
      <c r="W10" s="17"/>
      <c r="X10" s="17">
        <v>0.75497423323925905</v>
      </c>
      <c r="Y10" s="17">
        <v>0.58329325562620105</v>
      </c>
    </row>
    <row r="11" spans="2:25" x14ac:dyDescent="0.35">
      <c r="B11" s="18" t="s">
        <v>224</v>
      </c>
      <c r="C11" s="19">
        <v>3.3810361982840202E-2</v>
      </c>
      <c r="D11" s="19">
        <v>2.6546852964787301E-2</v>
      </c>
      <c r="E11" s="19">
        <v>4.0783522836315998E-2</v>
      </c>
      <c r="F11" s="19"/>
      <c r="G11" s="19">
        <v>1.7676884004826501E-2</v>
      </c>
      <c r="H11" s="19">
        <v>2.5576206446937502E-2</v>
      </c>
      <c r="I11" s="19">
        <v>3.0143987070927698E-2</v>
      </c>
      <c r="J11" s="19">
        <v>3.7525216767134599E-2</v>
      </c>
      <c r="K11" s="19">
        <v>3.53618717269805E-2</v>
      </c>
      <c r="L11" s="19">
        <v>4.3480909754821002E-2</v>
      </c>
      <c r="M11" s="19"/>
      <c r="N11" s="19">
        <v>9.0482010193279894E-3</v>
      </c>
      <c r="O11" s="19">
        <v>4.4352347703820703E-2</v>
      </c>
      <c r="P11" s="19">
        <v>5.5258111005666299E-2</v>
      </c>
      <c r="Q11" s="19">
        <v>2.7845880257414898E-2</v>
      </c>
      <c r="R11" s="19">
        <v>3.48690055762471E-2</v>
      </c>
      <c r="S11" s="19">
        <v>2.7286476712369501E-2</v>
      </c>
      <c r="T11" s="19">
        <v>2.9023504289927799E-2</v>
      </c>
      <c r="U11" s="19">
        <v>3.8365940748396901E-2</v>
      </c>
      <c r="V11" s="19">
        <v>1.7129450815519798E-2</v>
      </c>
      <c r="W11" s="19"/>
      <c r="X11" s="19">
        <v>2.3738496646526198E-2</v>
      </c>
      <c r="Y11" s="19">
        <v>3.9383795113335097E-2</v>
      </c>
    </row>
    <row r="12" spans="2:25" x14ac:dyDescent="0.35">
      <c r="B12" s="16"/>
    </row>
    <row r="13" spans="2:25" x14ac:dyDescent="0.35">
      <c r="B13" t="s">
        <v>51</v>
      </c>
    </row>
    <row r="14" spans="2:25" x14ac:dyDescent="0.35">
      <c r="B14" t="s">
        <v>52</v>
      </c>
    </row>
    <row r="16" spans="2:25" x14ac:dyDescent="0.35">
      <c r="B16" s="8" t="str">
        <f>HYPERLINK("#'Contents'!A1", "Return to Contents")</f>
        <v>Return to Contents</v>
      </c>
    </row>
  </sheetData>
  <mergeCells count="5">
    <mergeCell ref="D5:E5"/>
    <mergeCell ref="G5:L5"/>
    <mergeCell ref="N5:V5"/>
    <mergeCell ref="X5:Y5"/>
    <mergeCell ref="D2:W2"/>
  </mergeCells>
  <pageMargins left="0.7" right="0.7" top="0.75" bottom="0.75" header="0.3" footer="0.3"/>
  <pageSetup paperSize="9" orientation="portrait" horizontalDpi="300" verticalDpi="300"/>
  <drawing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B2:Y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s>
  <sheetData>
    <row r="2" spans="2:25" ht="40" customHeight="1" x14ac:dyDescent="0.35">
      <c r="D2" s="30" t="s">
        <v>236</v>
      </c>
      <c r="E2" s="26"/>
      <c r="F2" s="26"/>
      <c r="G2" s="26"/>
      <c r="H2" s="26"/>
      <c r="I2" s="26"/>
      <c r="J2" s="26"/>
      <c r="K2" s="26"/>
      <c r="L2" s="26"/>
      <c r="M2" s="26"/>
      <c r="N2" s="26"/>
      <c r="O2" s="26"/>
      <c r="P2" s="26"/>
      <c r="Q2" s="26"/>
      <c r="R2" s="26"/>
      <c r="S2" s="26"/>
      <c r="T2" s="26"/>
      <c r="U2" s="26"/>
      <c r="V2" s="26"/>
      <c r="W2" s="26"/>
    </row>
    <row r="5" spans="2:25" ht="30" customHeight="1" x14ac:dyDescent="0.35">
      <c r="B5" s="15"/>
      <c r="C5" s="15"/>
      <c r="D5" s="29" t="s">
        <v>38</v>
      </c>
      <c r="E5" s="29"/>
      <c r="F5" s="15"/>
      <c r="G5" s="29" t="s">
        <v>39</v>
      </c>
      <c r="H5" s="29"/>
      <c r="I5" s="29"/>
      <c r="J5" s="29"/>
      <c r="K5" s="29"/>
      <c r="L5" s="29"/>
      <c r="M5" s="15"/>
      <c r="N5" s="29" t="s">
        <v>40</v>
      </c>
      <c r="O5" s="29"/>
      <c r="P5" s="29"/>
      <c r="Q5" s="29"/>
      <c r="R5" s="29"/>
      <c r="S5" s="29"/>
      <c r="T5" s="29"/>
      <c r="U5" s="29"/>
      <c r="V5" s="29"/>
      <c r="W5" s="15"/>
      <c r="X5" s="29" t="s">
        <v>41</v>
      </c>
      <c r="Y5" s="29"/>
    </row>
    <row r="6" spans="2:25" ht="29"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row>
    <row r="7" spans="2:25" ht="30" customHeight="1" x14ac:dyDescent="0.35">
      <c r="B7" s="10" t="s">
        <v>19</v>
      </c>
      <c r="C7" s="10">
        <v>6838</v>
      </c>
      <c r="D7" s="10">
        <v>3283</v>
      </c>
      <c r="E7" s="10">
        <v>3541</v>
      </c>
      <c r="F7" s="10"/>
      <c r="G7" s="10">
        <v>635</v>
      </c>
      <c r="H7" s="10">
        <v>1075</v>
      </c>
      <c r="I7" s="10">
        <v>1093</v>
      </c>
      <c r="J7" s="10">
        <v>1228</v>
      </c>
      <c r="K7" s="10">
        <v>1156</v>
      </c>
      <c r="L7" s="10">
        <v>1651</v>
      </c>
      <c r="M7" s="10"/>
      <c r="N7" s="10">
        <v>208</v>
      </c>
      <c r="O7" s="10">
        <v>200</v>
      </c>
      <c r="P7" s="10">
        <v>1002</v>
      </c>
      <c r="Q7" s="10">
        <v>1000</v>
      </c>
      <c r="R7" s="10">
        <v>1004</v>
      </c>
      <c r="S7" s="10">
        <v>1006</v>
      </c>
      <c r="T7" s="10">
        <v>1006</v>
      </c>
      <c r="U7" s="10">
        <v>1007</v>
      </c>
      <c r="V7" s="10">
        <v>405</v>
      </c>
      <c r="W7" s="10"/>
      <c r="X7" s="10">
        <v>2650</v>
      </c>
      <c r="Y7" s="10">
        <v>4188</v>
      </c>
    </row>
    <row r="8" spans="2:25" ht="30" customHeight="1" x14ac:dyDescent="0.35">
      <c r="B8" s="11" t="s">
        <v>20</v>
      </c>
      <c r="C8" s="11">
        <v>6838</v>
      </c>
      <c r="D8" s="11">
        <v>3309</v>
      </c>
      <c r="E8" s="11">
        <v>3515</v>
      </c>
      <c r="F8" s="11"/>
      <c r="G8" s="11">
        <v>645</v>
      </c>
      <c r="H8" s="11">
        <v>1026</v>
      </c>
      <c r="I8" s="11">
        <v>1111</v>
      </c>
      <c r="J8" s="11">
        <v>1184</v>
      </c>
      <c r="K8" s="11">
        <v>1140</v>
      </c>
      <c r="L8" s="11">
        <v>1732</v>
      </c>
      <c r="M8" s="11"/>
      <c r="N8" s="11">
        <v>208</v>
      </c>
      <c r="O8" s="11">
        <v>200</v>
      </c>
      <c r="P8" s="11">
        <v>1002</v>
      </c>
      <c r="Q8" s="11">
        <v>1000</v>
      </c>
      <c r="R8" s="11">
        <v>1004</v>
      </c>
      <c r="S8" s="11">
        <v>1006</v>
      </c>
      <c r="T8" s="11">
        <v>1006</v>
      </c>
      <c r="U8" s="11">
        <v>1007</v>
      </c>
      <c r="V8" s="11">
        <v>405</v>
      </c>
      <c r="W8" s="11"/>
      <c r="X8" s="11">
        <v>2436</v>
      </c>
      <c r="Y8" s="11">
        <v>4402</v>
      </c>
    </row>
    <row r="9" spans="2:25" ht="29" x14ac:dyDescent="0.35">
      <c r="B9" s="18" t="s">
        <v>222</v>
      </c>
      <c r="C9" s="17">
        <v>0.29267674570056001</v>
      </c>
      <c r="D9" s="17">
        <v>0.23422718520282601</v>
      </c>
      <c r="E9" s="17">
        <v>0.348314414616332</v>
      </c>
      <c r="F9" s="17"/>
      <c r="G9" s="17">
        <v>0.15101185908547199</v>
      </c>
      <c r="H9" s="17">
        <v>0.16832640161843501</v>
      </c>
      <c r="I9" s="17">
        <v>0.19266748510972001</v>
      </c>
      <c r="J9" s="17">
        <v>0.25955001819642298</v>
      </c>
      <c r="K9" s="17">
        <v>0.386313553587049</v>
      </c>
      <c r="L9" s="17">
        <v>0.44416516947774198</v>
      </c>
      <c r="M9" s="17"/>
      <c r="N9" s="17">
        <v>0.26195098435127001</v>
      </c>
      <c r="O9" s="17">
        <v>0.32086425678923097</v>
      </c>
      <c r="P9" s="17">
        <v>0.34698759653828798</v>
      </c>
      <c r="Q9" s="17">
        <v>0.340706767116913</v>
      </c>
      <c r="R9" s="17">
        <v>0.24142618184356099</v>
      </c>
      <c r="S9" s="17">
        <v>0.32949032826963698</v>
      </c>
      <c r="T9" s="17">
        <v>0.22560619548147301</v>
      </c>
      <c r="U9" s="17">
        <v>0.29211086373325601</v>
      </c>
      <c r="V9" s="17">
        <v>0.24519003186494401</v>
      </c>
      <c r="W9" s="17"/>
      <c r="X9" s="17">
        <v>0.22390123424844999</v>
      </c>
      <c r="Y9" s="17">
        <v>0.33073481153985201</v>
      </c>
    </row>
    <row r="10" spans="2:25" ht="29" x14ac:dyDescent="0.35">
      <c r="B10" s="18" t="s">
        <v>223</v>
      </c>
      <c r="C10" s="17">
        <v>0.67100902734585799</v>
      </c>
      <c r="D10" s="17">
        <v>0.73888131178570704</v>
      </c>
      <c r="E10" s="17">
        <v>0.60635549237152098</v>
      </c>
      <c r="F10" s="17"/>
      <c r="G10" s="17">
        <v>0.80962804557526702</v>
      </c>
      <c r="H10" s="17">
        <v>0.80997525332362996</v>
      </c>
      <c r="I10" s="17">
        <v>0.78686623433239</v>
      </c>
      <c r="J10" s="17">
        <v>0.69829047034764802</v>
      </c>
      <c r="K10" s="17">
        <v>0.58015998674750902</v>
      </c>
      <c r="L10" s="17">
        <v>0.50399542927613605</v>
      </c>
      <c r="M10" s="17"/>
      <c r="N10" s="17">
        <v>0.72826965190052295</v>
      </c>
      <c r="O10" s="17">
        <v>0.66527940240028804</v>
      </c>
      <c r="P10" s="17">
        <v>0.59269783277986599</v>
      </c>
      <c r="Q10" s="17">
        <v>0.62588643551675804</v>
      </c>
      <c r="R10" s="17">
        <v>0.72174829615055403</v>
      </c>
      <c r="S10" s="17">
        <v>0.645363639361477</v>
      </c>
      <c r="T10" s="17">
        <v>0.73675017987037905</v>
      </c>
      <c r="U10" s="17">
        <v>0.66614987114486202</v>
      </c>
      <c r="V10" s="17">
        <v>0.73629477834110302</v>
      </c>
      <c r="W10" s="17"/>
      <c r="X10" s="17">
        <v>0.750646120172061</v>
      </c>
      <c r="Y10" s="17">
        <v>0.62694052595579697</v>
      </c>
    </row>
    <row r="11" spans="2:25" x14ac:dyDescent="0.35">
      <c r="B11" s="18" t="s">
        <v>224</v>
      </c>
      <c r="C11" s="19">
        <v>3.6314226953581899E-2</v>
      </c>
      <c r="D11" s="19">
        <v>2.6891503011467002E-2</v>
      </c>
      <c r="E11" s="19">
        <v>4.5330093012147597E-2</v>
      </c>
      <c r="F11" s="19"/>
      <c r="G11" s="19">
        <v>3.9360095339261401E-2</v>
      </c>
      <c r="H11" s="19">
        <v>2.1698345057935001E-2</v>
      </c>
      <c r="I11" s="19">
        <v>2.04662805578898E-2</v>
      </c>
      <c r="J11" s="19">
        <v>4.2159511455928701E-2</v>
      </c>
      <c r="K11" s="19">
        <v>3.35264596654423E-2</v>
      </c>
      <c r="L11" s="19">
        <v>5.1839401246121297E-2</v>
      </c>
      <c r="M11" s="19"/>
      <c r="N11" s="19">
        <v>9.7793637482068499E-3</v>
      </c>
      <c r="O11" s="19">
        <v>1.3856340810481101E-2</v>
      </c>
      <c r="P11" s="19">
        <v>6.03145706818458E-2</v>
      </c>
      <c r="Q11" s="19">
        <v>3.3406797366329399E-2</v>
      </c>
      <c r="R11" s="19">
        <v>3.6825522005884702E-2</v>
      </c>
      <c r="S11" s="19">
        <v>2.5146032368886E-2</v>
      </c>
      <c r="T11" s="19">
        <v>3.7643624648148001E-2</v>
      </c>
      <c r="U11" s="19">
        <v>4.1739265121882703E-2</v>
      </c>
      <c r="V11" s="19">
        <v>1.85151897939527E-2</v>
      </c>
      <c r="W11" s="19"/>
      <c r="X11" s="19">
        <v>2.5452645579489099E-2</v>
      </c>
      <c r="Y11" s="19">
        <v>4.2324662504350498E-2</v>
      </c>
    </row>
    <row r="12" spans="2:25" x14ac:dyDescent="0.35">
      <c r="B12" s="16"/>
    </row>
    <row r="13" spans="2:25" x14ac:dyDescent="0.35">
      <c r="B13" t="s">
        <v>51</v>
      </c>
    </row>
    <row r="14" spans="2:25" x14ac:dyDescent="0.35">
      <c r="B14" t="s">
        <v>52</v>
      </c>
    </row>
    <row r="16" spans="2:25" x14ac:dyDescent="0.35">
      <c r="B16" s="8" t="str">
        <f>HYPERLINK("#'Contents'!A1", "Return to Contents")</f>
        <v>Return to Contents</v>
      </c>
    </row>
  </sheetData>
  <mergeCells count="5">
    <mergeCell ref="D5:E5"/>
    <mergeCell ref="G5:L5"/>
    <mergeCell ref="N5:V5"/>
    <mergeCell ref="X5:Y5"/>
    <mergeCell ref="D2:W2"/>
  </mergeCells>
  <pageMargins left="0.7" right="0.7" top="0.75" bottom="0.75" header="0.3" footer="0.3"/>
  <pageSetup paperSize="9" orientation="portrait" horizontalDpi="300" verticalDpi="300"/>
  <drawing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B2:Y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s>
  <sheetData>
    <row r="2" spans="2:25" ht="40" customHeight="1" x14ac:dyDescent="0.35">
      <c r="D2" s="30" t="s">
        <v>237</v>
      </c>
      <c r="E2" s="26"/>
      <c r="F2" s="26"/>
      <c r="G2" s="26"/>
      <c r="H2" s="26"/>
      <c r="I2" s="26"/>
      <c r="J2" s="26"/>
      <c r="K2" s="26"/>
      <c r="L2" s="26"/>
      <c r="M2" s="26"/>
      <c r="N2" s="26"/>
      <c r="O2" s="26"/>
      <c r="P2" s="26"/>
      <c r="Q2" s="26"/>
      <c r="R2" s="26"/>
      <c r="S2" s="26"/>
      <c r="T2" s="26"/>
      <c r="U2" s="26"/>
      <c r="V2" s="26"/>
      <c r="W2" s="26"/>
    </row>
    <row r="5" spans="2:25" ht="30" customHeight="1" x14ac:dyDescent="0.35">
      <c r="B5" s="15"/>
      <c r="C5" s="15"/>
      <c r="D5" s="29" t="s">
        <v>38</v>
      </c>
      <c r="E5" s="29"/>
      <c r="F5" s="15"/>
      <c r="G5" s="29" t="s">
        <v>39</v>
      </c>
      <c r="H5" s="29"/>
      <c r="I5" s="29"/>
      <c r="J5" s="29"/>
      <c r="K5" s="29"/>
      <c r="L5" s="29"/>
      <c r="M5" s="15"/>
      <c r="N5" s="29" t="s">
        <v>40</v>
      </c>
      <c r="O5" s="29"/>
      <c r="P5" s="29"/>
      <c r="Q5" s="29"/>
      <c r="R5" s="29"/>
      <c r="S5" s="29"/>
      <c r="T5" s="29"/>
      <c r="U5" s="29"/>
      <c r="V5" s="29"/>
      <c r="W5" s="15"/>
      <c r="X5" s="29" t="s">
        <v>41</v>
      </c>
      <c r="Y5" s="29"/>
    </row>
    <row r="6" spans="2:25" ht="29"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row>
    <row r="7" spans="2:25" ht="30" customHeight="1" x14ac:dyDescent="0.35">
      <c r="B7" s="10" t="s">
        <v>19</v>
      </c>
      <c r="C7" s="10">
        <v>6838</v>
      </c>
      <c r="D7" s="10">
        <v>3283</v>
      </c>
      <c r="E7" s="10">
        <v>3541</v>
      </c>
      <c r="F7" s="10"/>
      <c r="G7" s="10">
        <v>635</v>
      </c>
      <c r="H7" s="10">
        <v>1075</v>
      </c>
      <c r="I7" s="10">
        <v>1093</v>
      </c>
      <c r="J7" s="10">
        <v>1228</v>
      </c>
      <c r="K7" s="10">
        <v>1156</v>
      </c>
      <c r="L7" s="10">
        <v>1651</v>
      </c>
      <c r="M7" s="10"/>
      <c r="N7" s="10">
        <v>208</v>
      </c>
      <c r="O7" s="10">
        <v>200</v>
      </c>
      <c r="P7" s="10">
        <v>1002</v>
      </c>
      <c r="Q7" s="10">
        <v>1000</v>
      </c>
      <c r="R7" s="10">
        <v>1004</v>
      </c>
      <c r="S7" s="10">
        <v>1006</v>
      </c>
      <c r="T7" s="10">
        <v>1006</v>
      </c>
      <c r="U7" s="10">
        <v>1007</v>
      </c>
      <c r="V7" s="10">
        <v>405</v>
      </c>
      <c r="W7" s="10"/>
      <c r="X7" s="10">
        <v>2650</v>
      </c>
      <c r="Y7" s="10">
        <v>4188</v>
      </c>
    </row>
    <row r="8" spans="2:25" ht="30" customHeight="1" x14ac:dyDescent="0.35">
      <c r="B8" s="11" t="s">
        <v>20</v>
      </c>
      <c r="C8" s="11">
        <v>6838</v>
      </c>
      <c r="D8" s="11">
        <v>3309</v>
      </c>
      <c r="E8" s="11">
        <v>3515</v>
      </c>
      <c r="F8" s="11"/>
      <c r="G8" s="11">
        <v>645</v>
      </c>
      <c r="H8" s="11">
        <v>1026</v>
      </c>
      <c r="I8" s="11">
        <v>1111</v>
      </c>
      <c r="J8" s="11">
        <v>1184</v>
      </c>
      <c r="K8" s="11">
        <v>1140</v>
      </c>
      <c r="L8" s="11">
        <v>1732</v>
      </c>
      <c r="M8" s="11"/>
      <c r="N8" s="11">
        <v>208</v>
      </c>
      <c r="O8" s="11">
        <v>200</v>
      </c>
      <c r="P8" s="11">
        <v>1002</v>
      </c>
      <c r="Q8" s="11">
        <v>1000</v>
      </c>
      <c r="R8" s="11">
        <v>1004</v>
      </c>
      <c r="S8" s="11">
        <v>1006</v>
      </c>
      <c r="T8" s="11">
        <v>1006</v>
      </c>
      <c r="U8" s="11">
        <v>1007</v>
      </c>
      <c r="V8" s="11">
        <v>405</v>
      </c>
      <c r="W8" s="11"/>
      <c r="X8" s="11">
        <v>2436</v>
      </c>
      <c r="Y8" s="11">
        <v>4402</v>
      </c>
    </row>
    <row r="9" spans="2:25" ht="29" x14ac:dyDescent="0.35">
      <c r="B9" s="18" t="s">
        <v>222</v>
      </c>
      <c r="C9" s="17">
        <v>0.58187853345763896</v>
      </c>
      <c r="D9" s="17">
        <v>0.49936893654912201</v>
      </c>
      <c r="E9" s="17">
        <v>0.65981024000693</v>
      </c>
      <c r="F9" s="17"/>
      <c r="G9" s="17">
        <v>0.47659763862025201</v>
      </c>
      <c r="H9" s="17">
        <v>0.50723715030767402</v>
      </c>
      <c r="I9" s="17">
        <v>0.50519643777874801</v>
      </c>
      <c r="J9" s="17">
        <v>0.57425473916532399</v>
      </c>
      <c r="K9" s="17">
        <v>0.63753965137762503</v>
      </c>
      <c r="L9" s="17">
        <v>0.68300547462425898</v>
      </c>
      <c r="M9" s="17"/>
      <c r="N9" s="17">
        <v>0.62750618416838699</v>
      </c>
      <c r="O9" s="17">
        <v>0.45398804076892202</v>
      </c>
      <c r="P9" s="17">
        <v>0.66843634111530303</v>
      </c>
      <c r="Q9" s="17">
        <v>0.57071065148738398</v>
      </c>
      <c r="R9" s="17">
        <v>0.57659846491012201</v>
      </c>
      <c r="S9" s="17">
        <v>0.59937808140869897</v>
      </c>
      <c r="T9" s="17">
        <v>0.52451654361909805</v>
      </c>
      <c r="U9" s="17">
        <v>0.57176608006156004</v>
      </c>
      <c r="V9" s="17">
        <v>0.57227495769849601</v>
      </c>
      <c r="W9" s="17"/>
      <c r="X9" s="17">
        <v>0.51535992424618804</v>
      </c>
      <c r="Y9" s="17">
        <v>0.61868770514471905</v>
      </c>
    </row>
    <row r="10" spans="2:25" ht="29" x14ac:dyDescent="0.35">
      <c r="B10" s="18" t="s">
        <v>223</v>
      </c>
      <c r="C10" s="17">
        <v>0.335090654980576</v>
      </c>
      <c r="D10" s="17">
        <v>0.43772917695666502</v>
      </c>
      <c r="E10" s="17">
        <v>0.238158499792819</v>
      </c>
      <c r="F10" s="17"/>
      <c r="G10" s="17">
        <v>0.45444619928234797</v>
      </c>
      <c r="H10" s="17">
        <v>0.42879858370626101</v>
      </c>
      <c r="I10" s="17">
        <v>0.41666376510376102</v>
      </c>
      <c r="J10" s="17">
        <v>0.34416590008583597</v>
      </c>
      <c r="K10" s="17">
        <v>0.27520917759608199</v>
      </c>
      <c r="L10" s="17">
        <v>0.21608749066855901</v>
      </c>
      <c r="M10" s="17"/>
      <c r="N10" s="17">
        <v>0.34249278462285099</v>
      </c>
      <c r="O10" s="17">
        <v>0.479869705478709</v>
      </c>
      <c r="P10" s="17">
        <v>0.20486340799396699</v>
      </c>
      <c r="Q10" s="17">
        <v>0.36343488276379399</v>
      </c>
      <c r="R10" s="17">
        <v>0.311740633179376</v>
      </c>
      <c r="S10" s="17">
        <v>0.33714814530903697</v>
      </c>
      <c r="T10" s="17">
        <v>0.40079737840380097</v>
      </c>
      <c r="U10" s="17">
        <v>0.34298305213089397</v>
      </c>
      <c r="V10" s="17">
        <v>0.38193756746449098</v>
      </c>
      <c r="W10" s="17"/>
      <c r="X10" s="17">
        <v>0.43067595662207803</v>
      </c>
      <c r="Y10" s="17">
        <v>0.28219694868405698</v>
      </c>
    </row>
    <row r="11" spans="2:25" x14ac:dyDescent="0.35">
      <c r="B11" s="18" t="s">
        <v>224</v>
      </c>
      <c r="C11" s="19">
        <v>8.3030811561784795E-2</v>
      </c>
      <c r="D11" s="19">
        <v>6.2901886494213605E-2</v>
      </c>
      <c r="E11" s="19">
        <v>0.10203126020025099</v>
      </c>
      <c r="F11" s="19"/>
      <c r="G11" s="19">
        <v>6.8956162097400103E-2</v>
      </c>
      <c r="H11" s="19">
        <v>6.3964265986065694E-2</v>
      </c>
      <c r="I11" s="19">
        <v>7.8139797117491097E-2</v>
      </c>
      <c r="J11" s="19">
        <v>8.1579360748840701E-2</v>
      </c>
      <c r="K11" s="19">
        <v>8.7251171026292401E-2</v>
      </c>
      <c r="L11" s="19">
        <v>0.100907034707182</v>
      </c>
      <c r="M11" s="19"/>
      <c r="N11" s="19">
        <v>3.00010312087629E-2</v>
      </c>
      <c r="O11" s="19">
        <v>6.6142253752368901E-2</v>
      </c>
      <c r="P11" s="19">
        <v>0.12670025089073</v>
      </c>
      <c r="Q11" s="19">
        <v>6.5854465748822505E-2</v>
      </c>
      <c r="R11" s="19">
        <v>0.111660901910502</v>
      </c>
      <c r="S11" s="19">
        <v>6.3473773282264098E-2</v>
      </c>
      <c r="T11" s="19">
        <v>7.4686077977100696E-2</v>
      </c>
      <c r="U11" s="19">
        <v>8.5250867807546205E-2</v>
      </c>
      <c r="V11" s="19">
        <v>4.5787474837013398E-2</v>
      </c>
      <c r="W11" s="19"/>
      <c r="X11" s="19">
        <v>5.3964119131734101E-2</v>
      </c>
      <c r="Y11" s="19">
        <v>9.9115346171223598E-2</v>
      </c>
    </row>
    <row r="12" spans="2:25" x14ac:dyDescent="0.35">
      <c r="B12" s="16"/>
    </row>
    <row r="13" spans="2:25" x14ac:dyDescent="0.35">
      <c r="B13" t="s">
        <v>51</v>
      </c>
    </row>
    <row r="14" spans="2:25" x14ac:dyDescent="0.35">
      <c r="B14" t="s">
        <v>52</v>
      </c>
    </row>
    <row r="16" spans="2:25" x14ac:dyDescent="0.35">
      <c r="B16" s="8" t="str">
        <f>HYPERLINK("#'Contents'!A1", "Return to Contents")</f>
        <v>Return to Contents</v>
      </c>
    </row>
  </sheetData>
  <mergeCells count="5">
    <mergeCell ref="D5:E5"/>
    <mergeCell ref="G5:L5"/>
    <mergeCell ref="N5:V5"/>
    <mergeCell ref="X5:Y5"/>
    <mergeCell ref="D2:W2"/>
  </mergeCells>
  <pageMargins left="0.7" right="0.7" top="0.75" bottom="0.75" header="0.3" footer="0.3"/>
  <pageSetup paperSize="9" orientation="portrait" horizontalDpi="300" verticalDpi="300"/>
  <drawing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B2:Y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s>
  <sheetData>
    <row r="2" spans="2:25" ht="40" customHeight="1" x14ac:dyDescent="0.35">
      <c r="D2" s="30" t="s">
        <v>238</v>
      </c>
      <c r="E2" s="26"/>
      <c r="F2" s="26"/>
      <c r="G2" s="26"/>
      <c r="H2" s="26"/>
      <c r="I2" s="26"/>
      <c r="J2" s="26"/>
      <c r="K2" s="26"/>
      <c r="L2" s="26"/>
      <c r="M2" s="26"/>
      <c r="N2" s="26"/>
      <c r="O2" s="26"/>
      <c r="P2" s="26"/>
      <c r="Q2" s="26"/>
      <c r="R2" s="26"/>
      <c r="S2" s="26"/>
      <c r="T2" s="26"/>
      <c r="U2" s="26"/>
      <c r="V2" s="26"/>
      <c r="W2" s="26"/>
    </row>
    <row r="5" spans="2:25" ht="30" customHeight="1" x14ac:dyDescent="0.35">
      <c r="B5" s="15"/>
      <c r="C5" s="15"/>
      <c r="D5" s="29" t="s">
        <v>38</v>
      </c>
      <c r="E5" s="29"/>
      <c r="F5" s="15"/>
      <c r="G5" s="29" t="s">
        <v>39</v>
      </c>
      <c r="H5" s="29"/>
      <c r="I5" s="29"/>
      <c r="J5" s="29"/>
      <c r="K5" s="29"/>
      <c r="L5" s="29"/>
      <c r="M5" s="15"/>
      <c r="N5" s="29" t="s">
        <v>40</v>
      </c>
      <c r="O5" s="29"/>
      <c r="P5" s="29"/>
      <c r="Q5" s="29"/>
      <c r="R5" s="29"/>
      <c r="S5" s="29"/>
      <c r="T5" s="29"/>
      <c r="U5" s="29"/>
      <c r="V5" s="29"/>
      <c r="W5" s="15"/>
      <c r="X5" s="29" t="s">
        <v>41</v>
      </c>
      <c r="Y5" s="29"/>
    </row>
    <row r="6" spans="2:25" ht="29"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row>
    <row r="7" spans="2:25" ht="30" customHeight="1" x14ac:dyDescent="0.35">
      <c r="B7" s="10" t="s">
        <v>19</v>
      </c>
      <c r="C7" s="10">
        <v>6838</v>
      </c>
      <c r="D7" s="10">
        <v>3283</v>
      </c>
      <c r="E7" s="10">
        <v>3541</v>
      </c>
      <c r="F7" s="10"/>
      <c r="G7" s="10">
        <v>635</v>
      </c>
      <c r="H7" s="10">
        <v>1075</v>
      </c>
      <c r="I7" s="10">
        <v>1093</v>
      </c>
      <c r="J7" s="10">
        <v>1228</v>
      </c>
      <c r="K7" s="10">
        <v>1156</v>
      </c>
      <c r="L7" s="10">
        <v>1651</v>
      </c>
      <c r="M7" s="10"/>
      <c r="N7" s="10">
        <v>208</v>
      </c>
      <c r="O7" s="10">
        <v>200</v>
      </c>
      <c r="P7" s="10">
        <v>1002</v>
      </c>
      <c r="Q7" s="10">
        <v>1000</v>
      </c>
      <c r="R7" s="10">
        <v>1004</v>
      </c>
      <c r="S7" s="10">
        <v>1006</v>
      </c>
      <c r="T7" s="10">
        <v>1006</v>
      </c>
      <c r="U7" s="10">
        <v>1007</v>
      </c>
      <c r="V7" s="10">
        <v>405</v>
      </c>
      <c r="W7" s="10"/>
      <c r="X7" s="10">
        <v>2650</v>
      </c>
      <c r="Y7" s="10">
        <v>4188</v>
      </c>
    </row>
    <row r="8" spans="2:25" ht="30" customHeight="1" x14ac:dyDescent="0.35">
      <c r="B8" s="11" t="s">
        <v>20</v>
      </c>
      <c r="C8" s="11">
        <v>6838</v>
      </c>
      <c r="D8" s="11">
        <v>3309</v>
      </c>
      <c r="E8" s="11">
        <v>3515</v>
      </c>
      <c r="F8" s="11"/>
      <c r="G8" s="11">
        <v>645</v>
      </c>
      <c r="H8" s="11">
        <v>1026</v>
      </c>
      <c r="I8" s="11">
        <v>1111</v>
      </c>
      <c r="J8" s="11">
        <v>1184</v>
      </c>
      <c r="K8" s="11">
        <v>1140</v>
      </c>
      <c r="L8" s="11">
        <v>1732</v>
      </c>
      <c r="M8" s="11"/>
      <c r="N8" s="11">
        <v>208</v>
      </c>
      <c r="O8" s="11">
        <v>200</v>
      </c>
      <c r="P8" s="11">
        <v>1002</v>
      </c>
      <c r="Q8" s="11">
        <v>1000</v>
      </c>
      <c r="R8" s="11">
        <v>1004</v>
      </c>
      <c r="S8" s="11">
        <v>1006</v>
      </c>
      <c r="T8" s="11">
        <v>1006</v>
      </c>
      <c r="U8" s="11">
        <v>1007</v>
      </c>
      <c r="V8" s="11">
        <v>405</v>
      </c>
      <c r="W8" s="11"/>
      <c r="X8" s="11">
        <v>2436</v>
      </c>
      <c r="Y8" s="11">
        <v>4402</v>
      </c>
    </row>
    <row r="9" spans="2:25" ht="29" x14ac:dyDescent="0.35">
      <c r="B9" s="18" t="s">
        <v>222</v>
      </c>
      <c r="C9" s="17">
        <v>0.114077712871422</v>
      </c>
      <c r="D9" s="17">
        <v>0.11549555848472701</v>
      </c>
      <c r="E9" s="17">
        <v>0.112684660158326</v>
      </c>
      <c r="F9" s="17"/>
      <c r="G9" s="17">
        <v>9.06038192824688E-2</v>
      </c>
      <c r="H9" s="17">
        <v>7.1047382029552297E-2</v>
      </c>
      <c r="I9" s="17">
        <v>6.8652280392146894E-2</v>
      </c>
      <c r="J9" s="17">
        <v>8.52028883843131E-2</v>
      </c>
      <c r="K9" s="17">
        <v>0.13100993484711199</v>
      </c>
      <c r="L9" s="17">
        <v>0.18601148677917201</v>
      </c>
      <c r="M9" s="17"/>
      <c r="N9" s="17">
        <v>0.14204953044426799</v>
      </c>
      <c r="O9" s="17">
        <v>0.16595401571007101</v>
      </c>
      <c r="P9" s="17">
        <v>0.141536662934796</v>
      </c>
      <c r="Q9" s="17">
        <v>0.102183519282081</v>
      </c>
      <c r="R9" s="17">
        <v>8.3219192529005601E-2</v>
      </c>
      <c r="S9" s="17">
        <v>0.10494772439451</v>
      </c>
      <c r="T9" s="17">
        <v>9.5804865796881494E-2</v>
      </c>
      <c r="U9" s="17">
        <v>0.13808305336174101</v>
      </c>
      <c r="V9" s="17">
        <v>0.120405505754774</v>
      </c>
      <c r="W9" s="17"/>
      <c r="X9" s="17">
        <v>8.8534688934123695E-2</v>
      </c>
      <c r="Y9" s="17">
        <v>0.128212367288601</v>
      </c>
    </row>
    <row r="10" spans="2:25" ht="29" x14ac:dyDescent="0.35">
      <c r="B10" s="18" t="s">
        <v>223</v>
      </c>
      <c r="C10" s="17">
        <v>0.87180125580548795</v>
      </c>
      <c r="D10" s="17">
        <v>0.87132861721247401</v>
      </c>
      <c r="E10" s="17">
        <v>0.872247986020941</v>
      </c>
      <c r="F10" s="17"/>
      <c r="G10" s="17">
        <v>0.88002941682165503</v>
      </c>
      <c r="H10" s="17">
        <v>0.92017376567369003</v>
      </c>
      <c r="I10" s="17">
        <v>0.91474298118017405</v>
      </c>
      <c r="J10" s="17">
        <v>0.90244131378840498</v>
      </c>
      <c r="K10" s="17">
        <v>0.85868723317401696</v>
      </c>
      <c r="L10" s="17">
        <v>0.80025233880957503</v>
      </c>
      <c r="M10" s="17"/>
      <c r="N10" s="17">
        <v>0.85795046955573095</v>
      </c>
      <c r="O10" s="17">
        <v>0.82579069426382601</v>
      </c>
      <c r="P10" s="17">
        <v>0.83575794253934099</v>
      </c>
      <c r="Q10" s="17">
        <v>0.87463884583846796</v>
      </c>
      <c r="R10" s="17">
        <v>0.91237113311233597</v>
      </c>
      <c r="S10" s="17">
        <v>0.88187297113399898</v>
      </c>
      <c r="T10" s="17">
        <v>0.89670044875560395</v>
      </c>
      <c r="U10" s="17">
        <v>0.84634892723358801</v>
      </c>
      <c r="V10" s="17">
        <v>0.859649379349951</v>
      </c>
      <c r="W10" s="17"/>
      <c r="X10" s="17">
        <v>0.89908628379150501</v>
      </c>
      <c r="Y10" s="17">
        <v>0.85670263465976404</v>
      </c>
    </row>
    <row r="11" spans="2:25" x14ac:dyDescent="0.35">
      <c r="B11" s="18" t="s">
        <v>224</v>
      </c>
      <c r="C11" s="19">
        <v>1.4121031323090101E-2</v>
      </c>
      <c r="D11" s="19">
        <v>1.3175824302799099E-2</v>
      </c>
      <c r="E11" s="19">
        <v>1.5067353820733599E-2</v>
      </c>
      <c r="F11" s="19"/>
      <c r="G11" s="19">
        <v>2.9366763895875898E-2</v>
      </c>
      <c r="H11" s="19">
        <v>8.7788522967580506E-3</v>
      </c>
      <c r="I11" s="19">
        <v>1.6604738427679198E-2</v>
      </c>
      <c r="J11" s="19">
        <v>1.2355797827282199E-2</v>
      </c>
      <c r="K11" s="19">
        <v>1.03028319788707E-2</v>
      </c>
      <c r="L11" s="19">
        <v>1.37361744112529E-2</v>
      </c>
      <c r="M11" s="19"/>
      <c r="N11" s="19">
        <v>0</v>
      </c>
      <c r="O11" s="19">
        <v>8.2552900261028406E-3</v>
      </c>
      <c r="P11" s="19">
        <v>2.2705394525862701E-2</v>
      </c>
      <c r="Q11" s="19">
        <v>2.3177634879451701E-2</v>
      </c>
      <c r="R11" s="19">
        <v>4.4096743586587101E-3</v>
      </c>
      <c r="S11" s="19">
        <v>1.31793044714918E-2</v>
      </c>
      <c r="T11" s="19">
        <v>7.4946854475140996E-3</v>
      </c>
      <c r="U11" s="19">
        <v>1.5568019404671399E-2</v>
      </c>
      <c r="V11" s="19">
        <v>1.9945114895274601E-2</v>
      </c>
      <c r="W11" s="19"/>
      <c r="X11" s="19">
        <v>1.23790272743711E-2</v>
      </c>
      <c r="Y11" s="19">
        <v>1.5084998051634499E-2</v>
      </c>
    </row>
    <row r="12" spans="2:25" x14ac:dyDescent="0.35">
      <c r="B12" s="16"/>
    </row>
    <row r="13" spans="2:25" x14ac:dyDescent="0.35">
      <c r="B13" t="s">
        <v>51</v>
      </c>
    </row>
    <row r="14" spans="2:25" x14ac:dyDescent="0.35">
      <c r="B14" t="s">
        <v>52</v>
      </c>
    </row>
    <row r="16" spans="2:25" x14ac:dyDescent="0.35">
      <c r="B16" s="8" t="str">
        <f>HYPERLINK("#'Contents'!A1", "Return to Contents")</f>
        <v>Return to Contents</v>
      </c>
    </row>
  </sheetData>
  <mergeCells count="5">
    <mergeCell ref="D5:E5"/>
    <mergeCell ref="G5:L5"/>
    <mergeCell ref="N5:V5"/>
    <mergeCell ref="X5:Y5"/>
    <mergeCell ref="D2:W2"/>
  </mergeCells>
  <pageMargins left="0.7" right="0.7" top="0.75" bottom="0.75" header="0.3" footer="0.3"/>
  <pageSetup paperSize="9" orientation="portrait" horizontalDpi="300" verticalDpi="300"/>
  <drawing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B2:Y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s>
  <sheetData>
    <row r="2" spans="2:25" ht="40" customHeight="1" x14ac:dyDescent="0.35">
      <c r="D2" s="30" t="s">
        <v>239</v>
      </c>
      <c r="E2" s="26"/>
      <c r="F2" s="26"/>
      <c r="G2" s="26"/>
      <c r="H2" s="26"/>
      <c r="I2" s="26"/>
      <c r="J2" s="26"/>
      <c r="K2" s="26"/>
      <c r="L2" s="26"/>
      <c r="M2" s="26"/>
      <c r="N2" s="26"/>
      <c r="O2" s="26"/>
      <c r="P2" s="26"/>
      <c r="Q2" s="26"/>
      <c r="R2" s="26"/>
      <c r="S2" s="26"/>
      <c r="T2" s="26"/>
      <c r="U2" s="26"/>
      <c r="V2" s="26"/>
      <c r="W2" s="26"/>
    </row>
    <row r="5" spans="2:25" ht="30" customHeight="1" x14ac:dyDescent="0.35">
      <c r="B5" s="15"/>
      <c r="C5" s="15"/>
      <c r="D5" s="29" t="s">
        <v>38</v>
      </c>
      <c r="E5" s="29"/>
      <c r="F5" s="15"/>
      <c r="G5" s="29" t="s">
        <v>39</v>
      </c>
      <c r="H5" s="29"/>
      <c r="I5" s="29"/>
      <c r="J5" s="29"/>
      <c r="K5" s="29"/>
      <c r="L5" s="29"/>
      <c r="M5" s="15"/>
      <c r="N5" s="29" t="s">
        <v>40</v>
      </c>
      <c r="O5" s="29"/>
      <c r="P5" s="29"/>
      <c r="Q5" s="29"/>
      <c r="R5" s="29"/>
      <c r="S5" s="29"/>
      <c r="T5" s="29"/>
      <c r="U5" s="29"/>
      <c r="V5" s="29"/>
      <c r="W5" s="15"/>
      <c r="X5" s="29" t="s">
        <v>41</v>
      </c>
      <c r="Y5" s="29"/>
    </row>
    <row r="6" spans="2:25" ht="29"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row>
    <row r="7" spans="2:25" ht="30" customHeight="1" x14ac:dyDescent="0.35">
      <c r="B7" s="10" t="s">
        <v>19</v>
      </c>
      <c r="C7" s="10">
        <v>6838</v>
      </c>
      <c r="D7" s="10">
        <v>3283</v>
      </c>
      <c r="E7" s="10">
        <v>3541</v>
      </c>
      <c r="F7" s="10"/>
      <c r="G7" s="10">
        <v>635</v>
      </c>
      <c r="H7" s="10">
        <v>1075</v>
      </c>
      <c r="I7" s="10">
        <v>1093</v>
      </c>
      <c r="J7" s="10">
        <v>1228</v>
      </c>
      <c r="K7" s="10">
        <v>1156</v>
      </c>
      <c r="L7" s="10">
        <v>1651</v>
      </c>
      <c r="M7" s="10"/>
      <c r="N7" s="10">
        <v>208</v>
      </c>
      <c r="O7" s="10">
        <v>200</v>
      </c>
      <c r="P7" s="10">
        <v>1002</v>
      </c>
      <c r="Q7" s="10">
        <v>1000</v>
      </c>
      <c r="R7" s="10">
        <v>1004</v>
      </c>
      <c r="S7" s="10">
        <v>1006</v>
      </c>
      <c r="T7" s="10">
        <v>1006</v>
      </c>
      <c r="U7" s="10">
        <v>1007</v>
      </c>
      <c r="V7" s="10">
        <v>405</v>
      </c>
      <c r="W7" s="10"/>
      <c r="X7" s="10">
        <v>2650</v>
      </c>
      <c r="Y7" s="10">
        <v>4188</v>
      </c>
    </row>
    <row r="8" spans="2:25" ht="30" customHeight="1" x14ac:dyDescent="0.35">
      <c r="B8" s="11" t="s">
        <v>20</v>
      </c>
      <c r="C8" s="11">
        <v>6838</v>
      </c>
      <c r="D8" s="11">
        <v>3309</v>
      </c>
      <c r="E8" s="11">
        <v>3515</v>
      </c>
      <c r="F8" s="11"/>
      <c r="G8" s="11">
        <v>645</v>
      </c>
      <c r="H8" s="11">
        <v>1026</v>
      </c>
      <c r="I8" s="11">
        <v>1111</v>
      </c>
      <c r="J8" s="11">
        <v>1184</v>
      </c>
      <c r="K8" s="11">
        <v>1140</v>
      </c>
      <c r="L8" s="11">
        <v>1732</v>
      </c>
      <c r="M8" s="11"/>
      <c r="N8" s="11">
        <v>208</v>
      </c>
      <c r="O8" s="11">
        <v>200</v>
      </c>
      <c r="P8" s="11">
        <v>1002</v>
      </c>
      <c r="Q8" s="11">
        <v>1000</v>
      </c>
      <c r="R8" s="11">
        <v>1004</v>
      </c>
      <c r="S8" s="11">
        <v>1006</v>
      </c>
      <c r="T8" s="11">
        <v>1006</v>
      </c>
      <c r="U8" s="11">
        <v>1007</v>
      </c>
      <c r="V8" s="11">
        <v>405</v>
      </c>
      <c r="W8" s="11"/>
      <c r="X8" s="11">
        <v>2436</v>
      </c>
      <c r="Y8" s="11">
        <v>4402</v>
      </c>
    </row>
    <row r="9" spans="2:25" ht="29" x14ac:dyDescent="0.35">
      <c r="B9" s="18" t="s">
        <v>222</v>
      </c>
      <c r="C9" s="17">
        <v>0.54288301571494901</v>
      </c>
      <c r="D9" s="17">
        <v>0.55980413664142104</v>
      </c>
      <c r="E9" s="17">
        <v>0.52661552281757995</v>
      </c>
      <c r="F9" s="17"/>
      <c r="G9" s="17">
        <v>0.41028587130542898</v>
      </c>
      <c r="H9" s="17">
        <v>0.41062135395338401</v>
      </c>
      <c r="I9" s="17">
        <v>0.44774456610932001</v>
      </c>
      <c r="J9" s="17">
        <v>0.54307039837405402</v>
      </c>
      <c r="K9" s="17">
        <v>0.62725817261060401</v>
      </c>
      <c r="L9" s="17">
        <v>0.67588693101936903</v>
      </c>
      <c r="M9" s="17"/>
      <c r="N9" s="17">
        <v>0.57895467095942599</v>
      </c>
      <c r="O9" s="17">
        <v>0.54014553330919002</v>
      </c>
      <c r="P9" s="17">
        <v>0.49898496286247102</v>
      </c>
      <c r="Q9" s="17">
        <v>0.49891511083603102</v>
      </c>
      <c r="R9" s="17">
        <v>0.56218111921618596</v>
      </c>
      <c r="S9" s="17">
        <v>0.528583508470435</v>
      </c>
      <c r="T9" s="17">
        <v>0.48936033383479899</v>
      </c>
      <c r="U9" s="17">
        <v>0.64755760268942597</v>
      </c>
      <c r="V9" s="17">
        <v>0.603240702846493</v>
      </c>
      <c r="W9" s="17"/>
      <c r="X9" s="17">
        <v>0.50707532055736304</v>
      </c>
      <c r="Y9" s="17">
        <v>0.56269779558481103</v>
      </c>
    </row>
    <row r="10" spans="2:25" ht="29" x14ac:dyDescent="0.35">
      <c r="B10" s="18" t="s">
        <v>223</v>
      </c>
      <c r="C10" s="17">
        <v>0.42172807645485</v>
      </c>
      <c r="D10" s="17">
        <v>0.40949517384080097</v>
      </c>
      <c r="E10" s="17">
        <v>0.433440472289228</v>
      </c>
      <c r="F10" s="17"/>
      <c r="G10" s="17">
        <v>0.57024032091194299</v>
      </c>
      <c r="H10" s="17">
        <v>0.55219383444710202</v>
      </c>
      <c r="I10" s="17">
        <v>0.52452088119860096</v>
      </c>
      <c r="J10" s="17">
        <v>0.42171741555421999</v>
      </c>
      <c r="K10" s="17">
        <v>0.34152604262798397</v>
      </c>
      <c r="L10" s="17">
        <v>0.276087056715972</v>
      </c>
      <c r="M10" s="17"/>
      <c r="N10" s="17">
        <v>0.41722169211688998</v>
      </c>
      <c r="O10" s="17">
        <v>0.410370994145974</v>
      </c>
      <c r="P10" s="17">
        <v>0.45764842823582103</v>
      </c>
      <c r="Q10" s="17">
        <v>0.47218116114784903</v>
      </c>
      <c r="R10" s="17">
        <v>0.38394413949821199</v>
      </c>
      <c r="S10" s="17">
        <v>0.45190976110856501</v>
      </c>
      <c r="T10" s="17">
        <v>0.47677407093629398</v>
      </c>
      <c r="U10" s="17">
        <v>0.308835690357528</v>
      </c>
      <c r="V10" s="17">
        <v>0.37886913206234502</v>
      </c>
      <c r="W10" s="17"/>
      <c r="X10" s="17">
        <v>0.46871803055780398</v>
      </c>
      <c r="Y10" s="17">
        <v>0.39572540880066898</v>
      </c>
    </row>
    <row r="11" spans="2:25" x14ac:dyDescent="0.35">
      <c r="B11" s="18" t="s">
        <v>224</v>
      </c>
      <c r="C11" s="19">
        <v>3.5388907830200801E-2</v>
      </c>
      <c r="D11" s="19">
        <v>3.0700689517778199E-2</v>
      </c>
      <c r="E11" s="19">
        <v>3.9944004893191498E-2</v>
      </c>
      <c r="F11" s="19"/>
      <c r="G11" s="19">
        <v>1.9473807782628E-2</v>
      </c>
      <c r="H11" s="19">
        <v>3.71848115995135E-2</v>
      </c>
      <c r="I11" s="19">
        <v>2.77345526920788E-2</v>
      </c>
      <c r="J11" s="19">
        <v>3.52121860717255E-2</v>
      </c>
      <c r="K11" s="19">
        <v>3.1215784761412301E-2</v>
      </c>
      <c r="L11" s="19">
        <v>4.8026012264659197E-2</v>
      </c>
      <c r="M11" s="19"/>
      <c r="N11" s="19">
        <v>3.8236369236838799E-3</v>
      </c>
      <c r="O11" s="19">
        <v>4.9483472544836503E-2</v>
      </c>
      <c r="P11" s="19">
        <v>4.33666089017073E-2</v>
      </c>
      <c r="Q11" s="19">
        <v>2.89037280161204E-2</v>
      </c>
      <c r="R11" s="19">
        <v>5.3874741285602101E-2</v>
      </c>
      <c r="S11" s="19">
        <v>1.9506730420999801E-2</v>
      </c>
      <c r="T11" s="19">
        <v>3.3865595228907003E-2</v>
      </c>
      <c r="U11" s="19">
        <v>4.3606706953045901E-2</v>
      </c>
      <c r="V11" s="19">
        <v>1.7890165091162601E-2</v>
      </c>
      <c r="W11" s="19"/>
      <c r="X11" s="19">
        <v>2.4206648884832802E-2</v>
      </c>
      <c r="Y11" s="19">
        <v>4.1576795614520198E-2</v>
      </c>
    </row>
    <row r="12" spans="2:25" x14ac:dyDescent="0.35">
      <c r="B12" s="16"/>
    </row>
    <row r="13" spans="2:25" x14ac:dyDescent="0.35">
      <c r="B13" t="s">
        <v>51</v>
      </c>
    </row>
    <row r="14" spans="2:25" x14ac:dyDescent="0.35">
      <c r="B14" t="s">
        <v>52</v>
      </c>
    </row>
    <row r="16" spans="2:25" x14ac:dyDescent="0.35">
      <c r="B16" s="8" t="str">
        <f>HYPERLINK("#'Contents'!A1", "Return to Contents")</f>
        <v>Return to Contents</v>
      </c>
    </row>
  </sheetData>
  <mergeCells count="5">
    <mergeCell ref="D5:E5"/>
    <mergeCell ref="G5:L5"/>
    <mergeCell ref="N5:V5"/>
    <mergeCell ref="X5:Y5"/>
    <mergeCell ref="D2:W2"/>
  </mergeCells>
  <pageMargins left="0.7" right="0.7" top="0.75" bottom="0.75" header="0.3" footer="0.3"/>
  <pageSetup paperSize="9" orientation="portrait" horizontalDpi="300" verticalDpi="300"/>
  <drawing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B2:Y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s>
  <sheetData>
    <row r="2" spans="2:25" ht="40" customHeight="1" x14ac:dyDescent="0.35">
      <c r="D2" s="30" t="s">
        <v>240</v>
      </c>
      <c r="E2" s="26"/>
      <c r="F2" s="26"/>
      <c r="G2" s="26"/>
      <c r="H2" s="26"/>
      <c r="I2" s="26"/>
      <c r="J2" s="26"/>
      <c r="K2" s="26"/>
      <c r="L2" s="26"/>
      <c r="M2" s="26"/>
      <c r="N2" s="26"/>
      <c r="O2" s="26"/>
      <c r="P2" s="26"/>
      <c r="Q2" s="26"/>
      <c r="R2" s="26"/>
      <c r="S2" s="26"/>
      <c r="T2" s="26"/>
      <c r="U2" s="26"/>
      <c r="V2" s="26"/>
      <c r="W2" s="26"/>
    </row>
    <row r="5" spans="2:25" ht="30" customHeight="1" x14ac:dyDescent="0.35">
      <c r="B5" s="15"/>
      <c r="C5" s="15"/>
      <c r="D5" s="29" t="s">
        <v>38</v>
      </c>
      <c r="E5" s="29"/>
      <c r="F5" s="15"/>
      <c r="G5" s="29" t="s">
        <v>39</v>
      </c>
      <c r="H5" s="29"/>
      <c r="I5" s="29"/>
      <c r="J5" s="29"/>
      <c r="K5" s="29"/>
      <c r="L5" s="29"/>
      <c r="M5" s="15"/>
      <c r="N5" s="29" t="s">
        <v>40</v>
      </c>
      <c r="O5" s="29"/>
      <c r="P5" s="29"/>
      <c r="Q5" s="29"/>
      <c r="R5" s="29"/>
      <c r="S5" s="29"/>
      <c r="T5" s="29"/>
      <c r="U5" s="29"/>
      <c r="V5" s="29"/>
      <c r="W5" s="15"/>
      <c r="X5" s="29" t="s">
        <v>41</v>
      </c>
      <c r="Y5" s="29"/>
    </row>
    <row r="6" spans="2:25" ht="29"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row>
    <row r="7" spans="2:25" ht="30" customHeight="1" x14ac:dyDescent="0.35">
      <c r="B7" s="10" t="s">
        <v>19</v>
      </c>
      <c r="C7" s="10">
        <v>6838</v>
      </c>
      <c r="D7" s="10">
        <v>3283</v>
      </c>
      <c r="E7" s="10">
        <v>3541</v>
      </c>
      <c r="F7" s="10"/>
      <c r="G7" s="10">
        <v>635</v>
      </c>
      <c r="H7" s="10">
        <v>1075</v>
      </c>
      <c r="I7" s="10">
        <v>1093</v>
      </c>
      <c r="J7" s="10">
        <v>1228</v>
      </c>
      <c r="K7" s="10">
        <v>1156</v>
      </c>
      <c r="L7" s="10">
        <v>1651</v>
      </c>
      <c r="M7" s="10"/>
      <c r="N7" s="10">
        <v>208</v>
      </c>
      <c r="O7" s="10">
        <v>200</v>
      </c>
      <c r="P7" s="10">
        <v>1002</v>
      </c>
      <c r="Q7" s="10">
        <v>1000</v>
      </c>
      <c r="R7" s="10">
        <v>1004</v>
      </c>
      <c r="S7" s="10">
        <v>1006</v>
      </c>
      <c r="T7" s="10">
        <v>1006</v>
      </c>
      <c r="U7" s="10">
        <v>1007</v>
      </c>
      <c r="V7" s="10">
        <v>405</v>
      </c>
      <c r="W7" s="10"/>
      <c r="X7" s="10">
        <v>2650</v>
      </c>
      <c r="Y7" s="10">
        <v>4188</v>
      </c>
    </row>
    <row r="8" spans="2:25" ht="30" customHeight="1" x14ac:dyDescent="0.35">
      <c r="B8" s="11" t="s">
        <v>20</v>
      </c>
      <c r="C8" s="11">
        <v>6838</v>
      </c>
      <c r="D8" s="11">
        <v>3309</v>
      </c>
      <c r="E8" s="11">
        <v>3515</v>
      </c>
      <c r="F8" s="11"/>
      <c r="G8" s="11">
        <v>645</v>
      </c>
      <c r="H8" s="11">
        <v>1026</v>
      </c>
      <c r="I8" s="11">
        <v>1111</v>
      </c>
      <c r="J8" s="11">
        <v>1184</v>
      </c>
      <c r="K8" s="11">
        <v>1140</v>
      </c>
      <c r="L8" s="11">
        <v>1732</v>
      </c>
      <c r="M8" s="11"/>
      <c r="N8" s="11">
        <v>208</v>
      </c>
      <c r="O8" s="11">
        <v>200</v>
      </c>
      <c r="P8" s="11">
        <v>1002</v>
      </c>
      <c r="Q8" s="11">
        <v>1000</v>
      </c>
      <c r="R8" s="11">
        <v>1004</v>
      </c>
      <c r="S8" s="11">
        <v>1006</v>
      </c>
      <c r="T8" s="11">
        <v>1006</v>
      </c>
      <c r="U8" s="11">
        <v>1007</v>
      </c>
      <c r="V8" s="11">
        <v>405</v>
      </c>
      <c r="W8" s="11"/>
      <c r="X8" s="11">
        <v>2436</v>
      </c>
      <c r="Y8" s="11">
        <v>4402</v>
      </c>
    </row>
    <row r="9" spans="2:25" ht="29" x14ac:dyDescent="0.35">
      <c r="B9" s="18" t="s">
        <v>222</v>
      </c>
      <c r="C9" s="17">
        <v>0.54940570376322295</v>
      </c>
      <c r="D9" s="17">
        <v>0.53190213428667299</v>
      </c>
      <c r="E9" s="17">
        <v>0.56630474653544005</v>
      </c>
      <c r="F9" s="17"/>
      <c r="G9" s="17">
        <v>0.34482543927800402</v>
      </c>
      <c r="H9" s="17">
        <v>0.40293366612357201</v>
      </c>
      <c r="I9" s="17">
        <v>0.46610078001196398</v>
      </c>
      <c r="J9" s="17">
        <v>0.54666802088586097</v>
      </c>
      <c r="K9" s="17">
        <v>0.65003083597202704</v>
      </c>
      <c r="L9" s="17">
        <v>0.70132237567875899</v>
      </c>
      <c r="M9" s="17"/>
      <c r="N9" s="17">
        <v>0.70911475561188597</v>
      </c>
      <c r="O9" s="17">
        <v>0.56886632716572905</v>
      </c>
      <c r="P9" s="17">
        <v>0.61325315460872998</v>
      </c>
      <c r="Q9" s="17">
        <v>0.64190934237071695</v>
      </c>
      <c r="R9" s="17">
        <v>0.48584955869672802</v>
      </c>
      <c r="S9" s="17">
        <v>0.63654696629651097</v>
      </c>
      <c r="T9" s="17">
        <v>0.38256732425019702</v>
      </c>
      <c r="U9" s="17">
        <v>0.463750735372154</v>
      </c>
      <c r="V9" s="17">
        <v>0.63989911284585799</v>
      </c>
      <c r="W9" s="17"/>
      <c r="X9" s="17">
        <v>0.45250606214358802</v>
      </c>
      <c r="Y9" s="17">
        <v>0.603026721807294</v>
      </c>
    </row>
    <row r="10" spans="2:25" ht="29" x14ac:dyDescent="0.35">
      <c r="B10" s="18" t="s">
        <v>223</v>
      </c>
      <c r="C10" s="17">
        <v>0.38321262440848303</v>
      </c>
      <c r="D10" s="17">
        <v>0.41000770212453302</v>
      </c>
      <c r="E10" s="17">
        <v>0.35729692850926698</v>
      </c>
      <c r="F10" s="17"/>
      <c r="G10" s="17">
        <v>0.59575854032456599</v>
      </c>
      <c r="H10" s="17">
        <v>0.54717687627714295</v>
      </c>
      <c r="I10" s="17">
        <v>0.47728538488934202</v>
      </c>
      <c r="J10" s="17">
        <v>0.37863515803306602</v>
      </c>
      <c r="K10" s="17">
        <v>0.282441899657151</v>
      </c>
      <c r="L10" s="17">
        <v>0.21616400647475101</v>
      </c>
      <c r="M10" s="17"/>
      <c r="N10" s="17">
        <v>0.24471209659117099</v>
      </c>
      <c r="O10" s="17">
        <v>0.37382044390044999</v>
      </c>
      <c r="P10" s="17">
        <v>0.28974069229323202</v>
      </c>
      <c r="Q10" s="17">
        <v>0.31313445930970502</v>
      </c>
      <c r="R10" s="17">
        <v>0.425040485365617</v>
      </c>
      <c r="S10" s="17">
        <v>0.303466540888506</v>
      </c>
      <c r="T10" s="17">
        <v>0.53980104328464495</v>
      </c>
      <c r="U10" s="17">
        <v>0.47962846806648501</v>
      </c>
      <c r="V10" s="17">
        <v>0.32897625560101001</v>
      </c>
      <c r="W10" s="17"/>
      <c r="X10" s="17">
        <v>0.50854918284900497</v>
      </c>
      <c r="Y10" s="17">
        <v>0.31385556849591201</v>
      </c>
    </row>
    <row r="11" spans="2:25" x14ac:dyDescent="0.35">
      <c r="B11" s="18" t="s">
        <v>224</v>
      </c>
      <c r="C11" s="19">
        <v>6.7381671828294507E-2</v>
      </c>
      <c r="D11" s="19">
        <v>5.8090163588794499E-2</v>
      </c>
      <c r="E11" s="19">
        <v>7.6398324955292696E-2</v>
      </c>
      <c r="F11" s="19"/>
      <c r="G11" s="19">
        <v>5.9416020397430103E-2</v>
      </c>
      <c r="H11" s="19">
        <v>4.9889457599284301E-2</v>
      </c>
      <c r="I11" s="19">
        <v>5.6613835098694602E-2</v>
      </c>
      <c r="J11" s="19">
        <v>7.46968210810737E-2</v>
      </c>
      <c r="K11" s="19">
        <v>6.7527264370821904E-2</v>
      </c>
      <c r="L11" s="19">
        <v>8.2513617846489307E-2</v>
      </c>
      <c r="M11" s="19"/>
      <c r="N11" s="19">
        <v>4.6173147796943301E-2</v>
      </c>
      <c r="O11" s="19">
        <v>5.7313228933821798E-2</v>
      </c>
      <c r="P11" s="19">
        <v>9.7006153098038603E-2</v>
      </c>
      <c r="Q11" s="19">
        <v>4.4956198319577298E-2</v>
      </c>
      <c r="R11" s="19">
        <v>8.9109955937655402E-2</v>
      </c>
      <c r="S11" s="19">
        <v>5.9986492814983798E-2</v>
      </c>
      <c r="T11" s="19">
        <v>7.7631632465157696E-2</v>
      </c>
      <c r="U11" s="19">
        <v>5.6620796561361E-2</v>
      </c>
      <c r="V11" s="19">
        <v>3.11246315531317E-2</v>
      </c>
      <c r="W11" s="19"/>
      <c r="X11" s="19">
        <v>3.89447550074071E-2</v>
      </c>
      <c r="Y11" s="19">
        <v>8.3117709696793496E-2</v>
      </c>
    </row>
    <row r="12" spans="2:25" x14ac:dyDescent="0.35">
      <c r="B12" s="16"/>
    </row>
    <row r="13" spans="2:25" x14ac:dyDescent="0.35">
      <c r="B13" t="s">
        <v>51</v>
      </c>
    </row>
    <row r="14" spans="2:25" x14ac:dyDescent="0.35">
      <c r="B14" t="s">
        <v>52</v>
      </c>
    </row>
    <row r="16" spans="2:25" x14ac:dyDescent="0.35">
      <c r="B16" s="8" t="str">
        <f>HYPERLINK("#'Contents'!A1", "Return to Contents")</f>
        <v>Return to Contents</v>
      </c>
    </row>
  </sheetData>
  <mergeCells count="5">
    <mergeCell ref="D5:E5"/>
    <mergeCell ref="G5:L5"/>
    <mergeCell ref="N5:V5"/>
    <mergeCell ref="X5:Y5"/>
    <mergeCell ref="D2:W2"/>
  </mergeCells>
  <pageMargins left="0.7" right="0.7" top="0.75" bottom="0.75" header="0.3" footer="0.3"/>
  <pageSetup paperSize="9" orientation="portrait" horizontalDpi="300" verticalDpi="300"/>
  <drawing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B2:Y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s>
  <sheetData>
    <row r="2" spans="2:25" ht="40" customHeight="1" x14ac:dyDescent="0.35">
      <c r="D2" s="30" t="s">
        <v>241</v>
      </c>
      <c r="E2" s="26"/>
      <c r="F2" s="26"/>
      <c r="G2" s="26"/>
      <c r="H2" s="26"/>
      <c r="I2" s="26"/>
      <c r="J2" s="26"/>
      <c r="K2" s="26"/>
      <c r="L2" s="26"/>
      <c r="M2" s="26"/>
      <c r="N2" s="26"/>
      <c r="O2" s="26"/>
      <c r="P2" s="26"/>
      <c r="Q2" s="26"/>
      <c r="R2" s="26"/>
      <c r="S2" s="26"/>
      <c r="T2" s="26"/>
      <c r="U2" s="26"/>
      <c r="V2" s="26"/>
      <c r="W2" s="26"/>
    </row>
    <row r="5" spans="2:25" ht="30" customHeight="1" x14ac:dyDescent="0.35">
      <c r="B5" s="15"/>
      <c r="C5" s="15"/>
      <c r="D5" s="29" t="s">
        <v>38</v>
      </c>
      <c r="E5" s="29"/>
      <c r="F5" s="15"/>
      <c r="G5" s="29" t="s">
        <v>39</v>
      </c>
      <c r="H5" s="29"/>
      <c r="I5" s="29"/>
      <c r="J5" s="29"/>
      <c r="K5" s="29"/>
      <c r="L5" s="29"/>
      <c r="M5" s="15"/>
      <c r="N5" s="29" t="s">
        <v>40</v>
      </c>
      <c r="O5" s="29"/>
      <c r="P5" s="29"/>
      <c r="Q5" s="29"/>
      <c r="R5" s="29"/>
      <c r="S5" s="29"/>
      <c r="T5" s="29"/>
      <c r="U5" s="29"/>
      <c r="V5" s="29"/>
      <c r="W5" s="15"/>
      <c r="X5" s="29" t="s">
        <v>41</v>
      </c>
      <c r="Y5" s="29"/>
    </row>
    <row r="6" spans="2:25" ht="29"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row>
    <row r="7" spans="2:25" ht="30" customHeight="1" x14ac:dyDescent="0.35">
      <c r="B7" s="10" t="s">
        <v>19</v>
      </c>
      <c r="C7" s="10">
        <v>6838</v>
      </c>
      <c r="D7" s="10">
        <v>3283</v>
      </c>
      <c r="E7" s="10">
        <v>3541</v>
      </c>
      <c r="F7" s="10"/>
      <c r="G7" s="10">
        <v>635</v>
      </c>
      <c r="H7" s="10">
        <v>1075</v>
      </c>
      <c r="I7" s="10">
        <v>1093</v>
      </c>
      <c r="J7" s="10">
        <v>1228</v>
      </c>
      <c r="K7" s="10">
        <v>1156</v>
      </c>
      <c r="L7" s="10">
        <v>1651</v>
      </c>
      <c r="M7" s="10"/>
      <c r="N7" s="10">
        <v>208</v>
      </c>
      <c r="O7" s="10">
        <v>200</v>
      </c>
      <c r="P7" s="10">
        <v>1002</v>
      </c>
      <c r="Q7" s="10">
        <v>1000</v>
      </c>
      <c r="R7" s="10">
        <v>1004</v>
      </c>
      <c r="S7" s="10">
        <v>1006</v>
      </c>
      <c r="T7" s="10">
        <v>1006</v>
      </c>
      <c r="U7" s="10">
        <v>1007</v>
      </c>
      <c r="V7" s="10">
        <v>405</v>
      </c>
      <c r="W7" s="10"/>
      <c r="X7" s="10">
        <v>2650</v>
      </c>
      <c r="Y7" s="10">
        <v>4188</v>
      </c>
    </row>
    <row r="8" spans="2:25" ht="30" customHeight="1" x14ac:dyDescent="0.35">
      <c r="B8" s="11" t="s">
        <v>20</v>
      </c>
      <c r="C8" s="11">
        <v>6838</v>
      </c>
      <c r="D8" s="11">
        <v>3309</v>
      </c>
      <c r="E8" s="11">
        <v>3515</v>
      </c>
      <c r="F8" s="11"/>
      <c r="G8" s="11">
        <v>645</v>
      </c>
      <c r="H8" s="11">
        <v>1026</v>
      </c>
      <c r="I8" s="11">
        <v>1111</v>
      </c>
      <c r="J8" s="11">
        <v>1184</v>
      </c>
      <c r="K8" s="11">
        <v>1140</v>
      </c>
      <c r="L8" s="11">
        <v>1732</v>
      </c>
      <c r="M8" s="11"/>
      <c r="N8" s="11">
        <v>208</v>
      </c>
      <c r="O8" s="11">
        <v>200</v>
      </c>
      <c r="P8" s="11">
        <v>1002</v>
      </c>
      <c r="Q8" s="11">
        <v>1000</v>
      </c>
      <c r="R8" s="11">
        <v>1004</v>
      </c>
      <c r="S8" s="11">
        <v>1006</v>
      </c>
      <c r="T8" s="11">
        <v>1006</v>
      </c>
      <c r="U8" s="11">
        <v>1007</v>
      </c>
      <c r="V8" s="11">
        <v>405</v>
      </c>
      <c r="W8" s="11"/>
      <c r="X8" s="11">
        <v>2436</v>
      </c>
      <c r="Y8" s="11">
        <v>4402</v>
      </c>
    </row>
    <row r="9" spans="2:25" ht="29" x14ac:dyDescent="0.35">
      <c r="B9" s="18" t="s">
        <v>222</v>
      </c>
      <c r="C9" s="17">
        <v>0.13271994483079999</v>
      </c>
      <c r="D9" s="17">
        <v>0.11540385299205</v>
      </c>
      <c r="E9" s="17">
        <v>0.14895598609747299</v>
      </c>
      <c r="F9" s="17"/>
      <c r="G9" s="17">
        <v>0.167050558256152</v>
      </c>
      <c r="H9" s="17">
        <v>0.10355819954444</v>
      </c>
      <c r="I9" s="17">
        <v>0.108135271719493</v>
      </c>
      <c r="J9" s="17">
        <v>0.10453901792086601</v>
      </c>
      <c r="K9" s="17">
        <v>0.14258928079762401</v>
      </c>
      <c r="L9" s="17">
        <v>0.16573835875687201</v>
      </c>
      <c r="M9" s="17"/>
      <c r="N9" s="17">
        <v>8.0814443358974905E-2</v>
      </c>
      <c r="O9" s="17">
        <v>2.1182667380292199E-2</v>
      </c>
      <c r="P9" s="17">
        <v>0.14347915525486801</v>
      </c>
      <c r="Q9" s="17">
        <v>0.19585046169175799</v>
      </c>
      <c r="R9" s="17">
        <v>0.196084851859058</v>
      </c>
      <c r="S9" s="17">
        <v>7.28086864933844E-2</v>
      </c>
      <c r="T9" s="17">
        <v>7.6445195241332697E-2</v>
      </c>
      <c r="U9" s="17">
        <v>0.168376150333443</v>
      </c>
      <c r="V9" s="17">
        <v>7.4822444750012193E-2</v>
      </c>
      <c r="W9" s="17"/>
      <c r="X9" s="17">
        <v>9.5775369392177206E-2</v>
      </c>
      <c r="Y9" s="17">
        <v>0.15316383619214399</v>
      </c>
    </row>
    <row r="10" spans="2:25" ht="29" x14ac:dyDescent="0.35">
      <c r="B10" s="18" t="s">
        <v>223</v>
      </c>
      <c r="C10" s="17">
        <v>0.84434927354043399</v>
      </c>
      <c r="D10" s="17">
        <v>0.86448493487328604</v>
      </c>
      <c r="E10" s="17">
        <v>0.82536713239942805</v>
      </c>
      <c r="F10" s="17"/>
      <c r="G10" s="17">
        <v>0.79439239393607097</v>
      </c>
      <c r="H10" s="17">
        <v>0.87377405576123601</v>
      </c>
      <c r="I10" s="17">
        <v>0.870171671580383</v>
      </c>
      <c r="J10" s="17">
        <v>0.86803755608585498</v>
      </c>
      <c r="K10" s="17">
        <v>0.84344704309928997</v>
      </c>
      <c r="L10" s="17">
        <v>0.813364188559899</v>
      </c>
      <c r="M10" s="17"/>
      <c r="N10" s="17">
        <v>0.91918555664102497</v>
      </c>
      <c r="O10" s="17">
        <v>0.97056204259360501</v>
      </c>
      <c r="P10" s="17">
        <v>0.83054279131657704</v>
      </c>
      <c r="Q10" s="17">
        <v>0.78338422175493505</v>
      </c>
      <c r="R10" s="17">
        <v>0.75615428951841501</v>
      </c>
      <c r="S10" s="17">
        <v>0.914438012132336</v>
      </c>
      <c r="T10" s="17">
        <v>0.91096258026483601</v>
      </c>
      <c r="U10" s="17">
        <v>0.80211569540001004</v>
      </c>
      <c r="V10" s="17">
        <v>0.91236252251711603</v>
      </c>
      <c r="W10" s="17"/>
      <c r="X10" s="17">
        <v>0.89109240101641296</v>
      </c>
      <c r="Y10" s="17">
        <v>0.81848319147932103</v>
      </c>
    </row>
    <row r="11" spans="2:25" x14ac:dyDescent="0.35">
      <c r="B11" s="18" t="s">
        <v>224</v>
      </c>
      <c r="C11" s="19">
        <v>2.29307816287662E-2</v>
      </c>
      <c r="D11" s="19">
        <v>2.01112121346642E-2</v>
      </c>
      <c r="E11" s="19">
        <v>2.56768815030993E-2</v>
      </c>
      <c r="F11" s="19"/>
      <c r="G11" s="19">
        <v>3.85570478077778E-2</v>
      </c>
      <c r="H11" s="19">
        <v>2.26677446943238E-2</v>
      </c>
      <c r="I11" s="19">
        <v>2.1693056700124499E-2</v>
      </c>
      <c r="J11" s="19">
        <v>2.7423425993278999E-2</v>
      </c>
      <c r="K11" s="19">
        <v>1.3963676103085401E-2</v>
      </c>
      <c r="L11" s="19">
        <v>2.08974526832288E-2</v>
      </c>
      <c r="M11" s="19"/>
      <c r="N11" s="19">
        <v>0</v>
      </c>
      <c r="O11" s="19">
        <v>8.2552900261028406E-3</v>
      </c>
      <c r="P11" s="19">
        <v>2.5978053428555001E-2</v>
      </c>
      <c r="Q11" s="19">
        <v>2.0765316553307E-2</v>
      </c>
      <c r="R11" s="19">
        <v>4.7760858622526998E-2</v>
      </c>
      <c r="S11" s="19">
        <v>1.27533013742798E-2</v>
      </c>
      <c r="T11" s="19">
        <v>1.25922244938317E-2</v>
      </c>
      <c r="U11" s="19">
        <v>2.9508154266547501E-2</v>
      </c>
      <c r="V11" s="19">
        <v>1.28150327328718E-2</v>
      </c>
      <c r="W11" s="19"/>
      <c r="X11" s="19">
        <v>1.3132229591409901E-2</v>
      </c>
      <c r="Y11" s="19">
        <v>2.8352972328534402E-2</v>
      </c>
    </row>
    <row r="12" spans="2:25" x14ac:dyDescent="0.35">
      <c r="B12" s="16"/>
    </row>
    <row r="13" spans="2:25" x14ac:dyDescent="0.35">
      <c r="B13" t="s">
        <v>51</v>
      </c>
    </row>
    <row r="14" spans="2:25" x14ac:dyDescent="0.35">
      <c r="B14" t="s">
        <v>52</v>
      </c>
    </row>
    <row r="16" spans="2:25" x14ac:dyDescent="0.35">
      <c r="B16" s="8" t="str">
        <f>HYPERLINK("#'Contents'!A1", "Return to Contents")</f>
        <v>Return to Contents</v>
      </c>
    </row>
  </sheetData>
  <mergeCells count="5">
    <mergeCell ref="D5:E5"/>
    <mergeCell ref="G5:L5"/>
    <mergeCell ref="N5:V5"/>
    <mergeCell ref="X5:Y5"/>
    <mergeCell ref="D2:W2"/>
  </mergeCells>
  <pageMargins left="0.7" right="0.7" top="0.75" bottom="0.75" header="0.3" footer="0.3"/>
  <pageSetup paperSize="9" orientation="portrait" horizontalDpi="300" verticalDpi="300"/>
  <drawing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B2:Y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s>
  <sheetData>
    <row r="2" spans="2:25" ht="40" customHeight="1" x14ac:dyDescent="0.35">
      <c r="D2" s="30" t="s">
        <v>242</v>
      </c>
      <c r="E2" s="26"/>
      <c r="F2" s="26"/>
      <c r="G2" s="26"/>
      <c r="H2" s="26"/>
      <c r="I2" s="26"/>
      <c r="J2" s="26"/>
      <c r="K2" s="26"/>
      <c r="L2" s="26"/>
      <c r="M2" s="26"/>
      <c r="N2" s="26"/>
      <c r="O2" s="26"/>
      <c r="P2" s="26"/>
      <c r="Q2" s="26"/>
      <c r="R2" s="26"/>
      <c r="S2" s="26"/>
      <c r="T2" s="26"/>
      <c r="U2" s="26"/>
      <c r="V2" s="26"/>
      <c r="W2" s="26"/>
    </row>
    <row r="5" spans="2:25" ht="30" customHeight="1" x14ac:dyDescent="0.35">
      <c r="B5" s="15"/>
      <c r="C5" s="15"/>
      <c r="D5" s="29" t="s">
        <v>38</v>
      </c>
      <c r="E5" s="29"/>
      <c r="F5" s="15"/>
      <c r="G5" s="29" t="s">
        <v>39</v>
      </c>
      <c r="H5" s="29"/>
      <c r="I5" s="29"/>
      <c r="J5" s="29"/>
      <c r="K5" s="29"/>
      <c r="L5" s="29"/>
      <c r="M5" s="15"/>
      <c r="N5" s="29" t="s">
        <v>40</v>
      </c>
      <c r="O5" s="29"/>
      <c r="P5" s="29"/>
      <c r="Q5" s="29"/>
      <c r="R5" s="29"/>
      <c r="S5" s="29"/>
      <c r="T5" s="29"/>
      <c r="U5" s="29"/>
      <c r="V5" s="29"/>
      <c r="W5" s="15"/>
      <c r="X5" s="29" t="s">
        <v>41</v>
      </c>
      <c r="Y5" s="29"/>
    </row>
    <row r="6" spans="2:25" ht="29"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row>
    <row r="7" spans="2:25" ht="30" customHeight="1" x14ac:dyDescent="0.35">
      <c r="B7" s="10" t="s">
        <v>19</v>
      </c>
      <c r="C7" s="10">
        <v>6838</v>
      </c>
      <c r="D7" s="10">
        <v>3283</v>
      </c>
      <c r="E7" s="10">
        <v>3541</v>
      </c>
      <c r="F7" s="10"/>
      <c r="G7" s="10">
        <v>635</v>
      </c>
      <c r="H7" s="10">
        <v>1075</v>
      </c>
      <c r="I7" s="10">
        <v>1093</v>
      </c>
      <c r="J7" s="10">
        <v>1228</v>
      </c>
      <c r="K7" s="10">
        <v>1156</v>
      </c>
      <c r="L7" s="10">
        <v>1651</v>
      </c>
      <c r="M7" s="10"/>
      <c r="N7" s="10">
        <v>208</v>
      </c>
      <c r="O7" s="10">
        <v>200</v>
      </c>
      <c r="P7" s="10">
        <v>1002</v>
      </c>
      <c r="Q7" s="10">
        <v>1000</v>
      </c>
      <c r="R7" s="10">
        <v>1004</v>
      </c>
      <c r="S7" s="10">
        <v>1006</v>
      </c>
      <c r="T7" s="10">
        <v>1006</v>
      </c>
      <c r="U7" s="10">
        <v>1007</v>
      </c>
      <c r="V7" s="10">
        <v>405</v>
      </c>
      <c r="W7" s="10"/>
      <c r="X7" s="10">
        <v>2650</v>
      </c>
      <c r="Y7" s="10">
        <v>4188</v>
      </c>
    </row>
    <row r="8" spans="2:25" ht="30" customHeight="1" x14ac:dyDescent="0.35">
      <c r="B8" s="11" t="s">
        <v>20</v>
      </c>
      <c r="C8" s="11">
        <v>6838</v>
      </c>
      <c r="D8" s="11">
        <v>3309</v>
      </c>
      <c r="E8" s="11">
        <v>3515</v>
      </c>
      <c r="F8" s="11"/>
      <c r="G8" s="11">
        <v>645</v>
      </c>
      <c r="H8" s="11">
        <v>1026</v>
      </c>
      <c r="I8" s="11">
        <v>1111</v>
      </c>
      <c r="J8" s="11">
        <v>1184</v>
      </c>
      <c r="K8" s="11">
        <v>1140</v>
      </c>
      <c r="L8" s="11">
        <v>1732</v>
      </c>
      <c r="M8" s="11"/>
      <c r="N8" s="11">
        <v>208</v>
      </c>
      <c r="O8" s="11">
        <v>200</v>
      </c>
      <c r="P8" s="11">
        <v>1002</v>
      </c>
      <c r="Q8" s="11">
        <v>1000</v>
      </c>
      <c r="R8" s="11">
        <v>1004</v>
      </c>
      <c r="S8" s="11">
        <v>1006</v>
      </c>
      <c r="T8" s="11">
        <v>1006</v>
      </c>
      <c r="U8" s="11">
        <v>1007</v>
      </c>
      <c r="V8" s="11">
        <v>405</v>
      </c>
      <c r="W8" s="11"/>
      <c r="X8" s="11">
        <v>2436</v>
      </c>
      <c r="Y8" s="11">
        <v>4402</v>
      </c>
    </row>
    <row r="9" spans="2:25" ht="29" x14ac:dyDescent="0.35">
      <c r="B9" s="18" t="s">
        <v>222</v>
      </c>
      <c r="C9" s="17">
        <v>0.403870893390257</v>
      </c>
      <c r="D9" s="17">
        <v>0.35015774018286699</v>
      </c>
      <c r="E9" s="17">
        <v>0.454390213711168</v>
      </c>
      <c r="F9" s="17"/>
      <c r="G9" s="17">
        <v>0.344650514245739</v>
      </c>
      <c r="H9" s="17">
        <v>0.31358795833998998</v>
      </c>
      <c r="I9" s="17">
        <v>0.33755682108824397</v>
      </c>
      <c r="J9" s="17">
        <v>0.37808908023266902</v>
      </c>
      <c r="K9" s="17">
        <v>0.44780932021331399</v>
      </c>
      <c r="L9" s="17">
        <v>0.510589898030543</v>
      </c>
      <c r="M9" s="17"/>
      <c r="N9" s="17">
        <v>0.39246935054744603</v>
      </c>
      <c r="O9" s="17">
        <v>0.39532017352919302</v>
      </c>
      <c r="P9" s="17">
        <v>0.37769998851664</v>
      </c>
      <c r="Q9" s="17">
        <v>0.35804585962843499</v>
      </c>
      <c r="R9" s="17">
        <v>0.482468224431716</v>
      </c>
      <c r="S9" s="17">
        <v>0.48864887495556197</v>
      </c>
      <c r="T9" s="17">
        <v>0.27908058643177902</v>
      </c>
      <c r="U9" s="17">
        <v>0.43904259323679701</v>
      </c>
      <c r="V9" s="17">
        <v>0.408939344163461</v>
      </c>
      <c r="W9" s="17"/>
      <c r="X9" s="17">
        <v>0.27062045463447099</v>
      </c>
      <c r="Y9" s="17">
        <v>0.477607225759278</v>
      </c>
    </row>
    <row r="10" spans="2:25" ht="29" x14ac:dyDescent="0.35">
      <c r="B10" s="18" t="s">
        <v>223</v>
      </c>
      <c r="C10" s="17">
        <v>0.53945116886403499</v>
      </c>
      <c r="D10" s="17">
        <v>0.60880676715165105</v>
      </c>
      <c r="E10" s="17">
        <v>0.47429366137783502</v>
      </c>
      <c r="F10" s="17"/>
      <c r="G10" s="17">
        <v>0.583951631711213</v>
      </c>
      <c r="H10" s="17">
        <v>0.63901456592146499</v>
      </c>
      <c r="I10" s="17">
        <v>0.61051600479081702</v>
      </c>
      <c r="J10" s="17">
        <v>0.56681324134334399</v>
      </c>
      <c r="K10" s="17">
        <v>0.49964916650165397</v>
      </c>
      <c r="L10" s="17">
        <v>0.42586630505634498</v>
      </c>
      <c r="M10" s="17"/>
      <c r="N10" s="17">
        <v>0.56289146264970802</v>
      </c>
      <c r="O10" s="17">
        <v>0.59243731211803996</v>
      </c>
      <c r="P10" s="17">
        <v>0.55818375575243995</v>
      </c>
      <c r="Q10" s="17">
        <v>0.60627076667889701</v>
      </c>
      <c r="R10" s="17">
        <v>0.426745842641502</v>
      </c>
      <c r="S10" s="17">
        <v>0.46222420010723297</v>
      </c>
      <c r="T10" s="17">
        <v>0.67008457145249101</v>
      </c>
      <c r="U10" s="17">
        <v>0.497901466728084</v>
      </c>
      <c r="V10" s="17">
        <v>0.53996318246507202</v>
      </c>
      <c r="W10" s="17"/>
      <c r="X10" s="17">
        <v>0.70055105899958303</v>
      </c>
      <c r="Y10" s="17">
        <v>0.450303882336758</v>
      </c>
    </row>
    <row r="11" spans="2:25" x14ac:dyDescent="0.35">
      <c r="B11" s="18" t="s">
        <v>224</v>
      </c>
      <c r="C11" s="19">
        <v>5.6677937745707202E-2</v>
      </c>
      <c r="D11" s="19">
        <v>4.1035492665481801E-2</v>
      </c>
      <c r="E11" s="19">
        <v>7.1316124910996301E-2</v>
      </c>
      <c r="F11" s="19"/>
      <c r="G11" s="19">
        <v>7.1397854043047604E-2</v>
      </c>
      <c r="H11" s="19">
        <v>4.73974757385449E-2</v>
      </c>
      <c r="I11" s="19">
        <v>5.1927174120938599E-2</v>
      </c>
      <c r="J11" s="19">
        <v>5.50976784239866E-2</v>
      </c>
      <c r="K11" s="19">
        <v>5.2541513285032801E-2</v>
      </c>
      <c r="L11" s="19">
        <v>6.3543796913112002E-2</v>
      </c>
      <c r="M11" s="19"/>
      <c r="N11" s="19">
        <v>4.4639186802846099E-2</v>
      </c>
      <c r="O11" s="19">
        <v>1.22425143527672E-2</v>
      </c>
      <c r="P11" s="19">
        <v>6.4116255730920294E-2</v>
      </c>
      <c r="Q11" s="19">
        <v>3.5683373692668302E-2</v>
      </c>
      <c r="R11" s="19">
        <v>9.0785932926782095E-2</v>
      </c>
      <c r="S11" s="19">
        <v>4.9126924937204997E-2</v>
      </c>
      <c r="T11" s="19">
        <v>5.0834842115729903E-2</v>
      </c>
      <c r="U11" s="19">
        <v>6.3055940035118302E-2</v>
      </c>
      <c r="V11" s="19">
        <v>5.1097473371466903E-2</v>
      </c>
      <c r="W11" s="19"/>
      <c r="X11" s="19">
        <v>2.8828486365945399E-2</v>
      </c>
      <c r="Y11" s="19">
        <v>7.2088891903963906E-2</v>
      </c>
    </row>
    <row r="12" spans="2:25" x14ac:dyDescent="0.35">
      <c r="B12" s="16"/>
    </row>
    <row r="13" spans="2:25" x14ac:dyDescent="0.35">
      <c r="B13" t="s">
        <v>51</v>
      </c>
    </row>
    <row r="14" spans="2:25" x14ac:dyDescent="0.35">
      <c r="B14" t="s">
        <v>52</v>
      </c>
    </row>
    <row r="16" spans="2:25" x14ac:dyDescent="0.35">
      <c r="B16" s="8" t="str">
        <f>HYPERLINK("#'Contents'!A1", "Return to Contents")</f>
        <v>Return to Contents</v>
      </c>
    </row>
  </sheetData>
  <mergeCells count="5">
    <mergeCell ref="D5:E5"/>
    <mergeCell ref="G5:L5"/>
    <mergeCell ref="N5:V5"/>
    <mergeCell ref="X5:Y5"/>
    <mergeCell ref="D2:W2"/>
  </mergeCells>
  <pageMargins left="0.7" right="0.7" top="0.75" bottom="0.75" header="0.3" footer="0.3"/>
  <pageSetup paperSize="9" orientation="portrait" horizontalDpi="300" verticalDpi="300"/>
  <drawing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B2:Y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s>
  <sheetData>
    <row r="2" spans="2:25" ht="40" customHeight="1" x14ac:dyDescent="0.35">
      <c r="D2" s="30" t="s">
        <v>243</v>
      </c>
      <c r="E2" s="26"/>
      <c r="F2" s="26"/>
      <c r="G2" s="26"/>
      <c r="H2" s="26"/>
      <c r="I2" s="26"/>
      <c r="J2" s="26"/>
      <c r="K2" s="26"/>
      <c r="L2" s="26"/>
      <c r="M2" s="26"/>
      <c r="N2" s="26"/>
      <c r="O2" s="26"/>
      <c r="P2" s="26"/>
      <c r="Q2" s="26"/>
      <c r="R2" s="26"/>
      <c r="S2" s="26"/>
      <c r="T2" s="26"/>
      <c r="U2" s="26"/>
      <c r="V2" s="26"/>
      <c r="W2" s="26"/>
    </row>
    <row r="5" spans="2:25" ht="30" customHeight="1" x14ac:dyDescent="0.35">
      <c r="B5" s="15"/>
      <c r="C5" s="15"/>
      <c r="D5" s="29" t="s">
        <v>38</v>
      </c>
      <c r="E5" s="29"/>
      <c r="F5" s="15"/>
      <c r="G5" s="29" t="s">
        <v>39</v>
      </c>
      <c r="H5" s="29"/>
      <c r="I5" s="29"/>
      <c r="J5" s="29"/>
      <c r="K5" s="29"/>
      <c r="L5" s="29"/>
      <c r="M5" s="15"/>
      <c r="N5" s="29" t="s">
        <v>40</v>
      </c>
      <c r="O5" s="29"/>
      <c r="P5" s="29"/>
      <c r="Q5" s="29"/>
      <c r="R5" s="29"/>
      <c r="S5" s="29"/>
      <c r="T5" s="29"/>
      <c r="U5" s="29"/>
      <c r="V5" s="29"/>
      <c r="W5" s="15"/>
      <c r="X5" s="29" t="s">
        <v>41</v>
      </c>
      <c r="Y5" s="29"/>
    </row>
    <row r="6" spans="2:25" ht="29"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row>
    <row r="7" spans="2:25" ht="30" customHeight="1" x14ac:dyDescent="0.35">
      <c r="B7" s="10" t="s">
        <v>19</v>
      </c>
      <c r="C7" s="10">
        <v>6838</v>
      </c>
      <c r="D7" s="10">
        <v>3283</v>
      </c>
      <c r="E7" s="10">
        <v>3541</v>
      </c>
      <c r="F7" s="10"/>
      <c r="G7" s="10">
        <v>635</v>
      </c>
      <c r="H7" s="10">
        <v>1075</v>
      </c>
      <c r="I7" s="10">
        <v>1093</v>
      </c>
      <c r="J7" s="10">
        <v>1228</v>
      </c>
      <c r="K7" s="10">
        <v>1156</v>
      </c>
      <c r="L7" s="10">
        <v>1651</v>
      </c>
      <c r="M7" s="10"/>
      <c r="N7" s="10">
        <v>208</v>
      </c>
      <c r="O7" s="10">
        <v>200</v>
      </c>
      <c r="P7" s="10">
        <v>1002</v>
      </c>
      <c r="Q7" s="10">
        <v>1000</v>
      </c>
      <c r="R7" s="10">
        <v>1004</v>
      </c>
      <c r="S7" s="10">
        <v>1006</v>
      </c>
      <c r="T7" s="10">
        <v>1006</v>
      </c>
      <c r="U7" s="10">
        <v>1007</v>
      </c>
      <c r="V7" s="10">
        <v>405</v>
      </c>
      <c r="W7" s="10"/>
      <c r="X7" s="10">
        <v>2650</v>
      </c>
      <c r="Y7" s="10">
        <v>4188</v>
      </c>
    </row>
    <row r="8" spans="2:25" ht="30" customHeight="1" x14ac:dyDescent="0.35">
      <c r="B8" s="11" t="s">
        <v>20</v>
      </c>
      <c r="C8" s="11">
        <v>6838</v>
      </c>
      <c r="D8" s="11">
        <v>3309</v>
      </c>
      <c r="E8" s="11">
        <v>3515</v>
      </c>
      <c r="F8" s="11"/>
      <c r="G8" s="11">
        <v>645</v>
      </c>
      <c r="H8" s="11">
        <v>1026</v>
      </c>
      <c r="I8" s="11">
        <v>1111</v>
      </c>
      <c r="J8" s="11">
        <v>1184</v>
      </c>
      <c r="K8" s="11">
        <v>1140</v>
      </c>
      <c r="L8" s="11">
        <v>1732</v>
      </c>
      <c r="M8" s="11"/>
      <c r="N8" s="11">
        <v>208</v>
      </c>
      <c r="O8" s="11">
        <v>200</v>
      </c>
      <c r="P8" s="11">
        <v>1002</v>
      </c>
      <c r="Q8" s="11">
        <v>1000</v>
      </c>
      <c r="R8" s="11">
        <v>1004</v>
      </c>
      <c r="S8" s="11">
        <v>1006</v>
      </c>
      <c r="T8" s="11">
        <v>1006</v>
      </c>
      <c r="U8" s="11">
        <v>1007</v>
      </c>
      <c r="V8" s="11">
        <v>405</v>
      </c>
      <c r="W8" s="11"/>
      <c r="X8" s="11">
        <v>2436</v>
      </c>
      <c r="Y8" s="11">
        <v>4402</v>
      </c>
    </row>
    <row r="9" spans="2:25" ht="29" x14ac:dyDescent="0.35">
      <c r="B9" s="18" t="s">
        <v>222</v>
      </c>
      <c r="C9" s="17">
        <v>0.52487200802157896</v>
      </c>
      <c r="D9" s="17">
        <v>0.45229202424682502</v>
      </c>
      <c r="E9" s="17">
        <v>0.59244647785346205</v>
      </c>
      <c r="F9" s="17"/>
      <c r="G9" s="17">
        <v>0.48951678372699098</v>
      </c>
      <c r="H9" s="17">
        <v>0.43734776698925498</v>
      </c>
      <c r="I9" s="17">
        <v>0.43750737773479897</v>
      </c>
      <c r="J9" s="17">
        <v>0.49710903195304301</v>
      </c>
      <c r="K9" s="17">
        <v>0.55800209094296904</v>
      </c>
      <c r="L9" s="17">
        <v>0.64304759241847598</v>
      </c>
      <c r="M9" s="17"/>
      <c r="N9" s="17">
        <v>0.50243723671946705</v>
      </c>
      <c r="O9" s="17">
        <v>0.58311127681020802</v>
      </c>
      <c r="P9" s="17">
        <v>0.53959498391194904</v>
      </c>
      <c r="Q9" s="17">
        <v>0.57052195515373305</v>
      </c>
      <c r="R9" s="17">
        <v>0.503101259181024</v>
      </c>
      <c r="S9" s="17">
        <v>0.58574693798925104</v>
      </c>
      <c r="T9" s="17">
        <v>0.47611526278842498</v>
      </c>
      <c r="U9" s="17">
        <v>0.47173190753400601</v>
      </c>
      <c r="V9" s="17">
        <v>0.51448985711487705</v>
      </c>
      <c r="W9" s="17"/>
      <c r="X9" s="17">
        <v>0.38713545326339099</v>
      </c>
      <c r="Y9" s="17">
        <v>0.60109080681763605</v>
      </c>
    </row>
    <row r="10" spans="2:25" ht="29" x14ac:dyDescent="0.35">
      <c r="B10" s="18" t="s">
        <v>223</v>
      </c>
      <c r="C10" s="17">
        <v>0.40837785002897098</v>
      </c>
      <c r="D10" s="17">
        <v>0.49041767708119099</v>
      </c>
      <c r="E10" s="17">
        <v>0.33191195714370803</v>
      </c>
      <c r="F10" s="17"/>
      <c r="G10" s="17">
        <v>0.43480456501787701</v>
      </c>
      <c r="H10" s="17">
        <v>0.50929856194211598</v>
      </c>
      <c r="I10" s="17">
        <v>0.50593104114559095</v>
      </c>
      <c r="J10" s="17">
        <v>0.43336836104538401</v>
      </c>
      <c r="K10" s="17">
        <v>0.37337790989695502</v>
      </c>
      <c r="L10" s="17">
        <v>0.282184328993897</v>
      </c>
      <c r="M10" s="17"/>
      <c r="N10" s="17">
        <v>0.471299817730853</v>
      </c>
      <c r="O10" s="17">
        <v>0.39144225689210699</v>
      </c>
      <c r="P10" s="17">
        <v>0.35884946932809397</v>
      </c>
      <c r="Q10" s="17">
        <v>0.38396448181248399</v>
      </c>
      <c r="R10" s="17">
        <v>0.41528372178146</v>
      </c>
      <c r="S10" s="17">
        <v>0.33693592797965899</v>
      </c>
      <c r="T10" s="17">
        <v>0.460929234533414</v>
      </c>
      <c r="U10" s="17">
        <v>0.46880712984054101</v>
      </c>
      <c r="V10" s="17">
        <v>0.446793296410541</v>
      </c>
      <c r="W10" s="17"/>
      <c r="X10" s="17">
        <v>0.57670963052530899</v>
      </c>
      <c r="Y10" s="17">
        <v>0.31522867745704902</v>
      </c>
    </row>
    <row r="11" spans="2:25" x14ac:dyDescent="0.35">
      <c r="B11" s="18" t="s">
        <v>224</v>
      </c>
      <c r="C11" s="19">
        <v>6.6750141949449907E-2</v>
      </c>
      <c r="D11" s="19">
        <v>5.7290298671984603E-2</v>
      </c>
      <c r="E11" s="19">
        <v>7.56415650028293E-2</v>
      </c>
      <c r="F11" s="19"/>
      <c r="G11" s="19">
        <v>7.5678651255132304E-2</v>
      </c>
      <c r="H11" s="19">
        <v>5.3353671068629697E-2</v>
      </c>
      <c r="I11" s="19">
        <v>5.6561581119609301E-2</v>
      </c>
      <c r="J11" s="19">
        <v>6.9522607001573394E-2</v>
      </c>
      <c r="K11" s="19">
        <v>6.8619999160076606E-2</v>
      </c>
      <c r="L11" s="19">
        <v>7.4768078587627101E-2</v>
      </c>
      <c r="M11" s="19"/>
      <c r="N11" s="19">
        <v>2.6262945549679902E-2</v>
      </c>
      <c r="O11" s="19">
        <v>2.5446466297684701E-2</v>
      </c>
      <c r="P11" s="19">
        <v>0.101555546759957</v>
      </c>
      <c r="Q11" s="19">
        <v>4.5513563033782602E-2</v>
      </c>
      <c r="R11" s="19">
        <v>8.1615019037515696E-2</v>
      </c>
      <c r="S11" s="19">
        <v>7.7317134031089904E-2</v>
      </c>
      <c r="T11" s="19">
        <v>6.2955502678160399E-2</v>
      </c>
      <c r="U11" s="19">
        <v>5.9460962625452897E-2</v>
      </c>
      <c r="V11" s="19">
        <v>3.8716846474581901E-2</v>
      </c>
      <c r="W11" s="19"/>
      <c r="X11" s="19">
        <v>3.6154916211300299E-2</v>
      </c>
      <c r="Y11" s="19">
        <v>8.3680515725314694E-2</v>
      </c>
    </row>
    <row r="12" spans="2:25" x14ac:dyDescent="0.35">
      <c r="B12" s="16"/>
    </row>
    <row r="13" spans="2:25" x14ac:dyDescent="0.35">
      <c r="B13" t="s">
        <v>51</v>
      </c>
    </row>
    <row r="14" spans="2:25" x14ac:dyDescent="0.35">
      <c r="B14" t="s">
        <v>52</v>
      </c>
    </row>
    <row r="16" spans="2:25" x14ac:dyDescent="0.35">
      <c r="B16" s="8" t="str">
        <f>HYPERLINK("#'Contents'!A1", "Return to Contents")</f>
        <v>Return to Contents</v>
      </c>
    </row>
  </sheetData>
  <mergeCells count="5">
    <mergeCell ref="D5:E5"/>
    <mergeCell ref="G5:L5"/>
    <mergeCell ref="N5:V5"/>
    <mergeCell ref="X5:Y5"/>
    <mergeCell ref="D2:W2"/>
  </mergeCells>
  <pageMargins left="0.7" right="0.7" top="0.75" bottom="0.75" header="0.3" footer="0.3"/>
  <pageSetup paperSize="9" orientation="portrait" horizontalDpi="300" verticalDpi="300"/>
  <drawing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B2:Y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s>
  <sheetData>
    <row r="2" spans="2:25" ht="40" customHeight="1" x14ac:dyDescent="0.35">
      <c r="D2" s="30" t="s">
        <v>244</v>
      </c>
      <c r="E2" s="26"/>
      <c r="F2" s="26"/>
      <c r="G2" s="26"/>
      <c r="H2" s="26"/>
      <c r="I2" s="26"/>
      <c r="J2" s="26"/>
      <c r="K2" s="26"/>
      <c r="L2" s="26"/>
      <c r="M2" s="26"/>
      <c r="N2" s="26"/>
      <c r="O2" s="26"/>
      <c r="P2" s="26"/>
      <c r="Q2" s="26"/>
      <c r="R2" s="26"/>
      <c r="S2" s="26"/>
      <c r="T2" s="26"/>
      <c r="U2" s="26"/>
      <c r="V2" s="26"/>
      <c r="W2" s="26"/>
    </row>
    <row r="5" spans="2:25" ht="30" customHeight="1" x14ac:dyDescent="0.35">
      <c r="B5" s="15"/>
      <c r="C5" s="15"/>
      <c r="D5" s="29" t="s">
        <v>38</v>
      </c>
      <c r="E5" s="29"/>
      <c r="F5" s="15"/>
      <c r="G5" s="29" t="s">
        <v>39</v>
      </c>
      <c r="H5" s="29"/>
      <c r="I5" s="29"/>
      <c r="J5" s="29"/>
      <c r="K5" s="29"/>
      <c r="L5" s="29"/>
      <c r="M5" s="15"/>
      <c r="N5" s="29" t="s">
        <v>40</v>
      </c>
      <c r="O5" s="29"/>
      <c r="P5" s="29"/>
      <c r="Q5" s="29"/>
      <c r="R5" s="29"/>
      <c r="S5" s="29"/>
      <c r="T5" s="29"/>
      <c r="U5" s="29"/>
      <c r="V5" s="29"/>
      <c r="W5" s="15"/>
      <c r="X5" s="29" t="s">
        <v>41</v>
      </c>
      <c r="Y5" s="29"/>
    </row>
    <row r="6" spans="2:25" ht="29"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row>
    <row r="7" spans="2:25" ht="30" customHeight="1" x14ac:dyDescent="0.35">
      <c r="B7" s="10" t="s">
        <v>19</v>
      </c>
      <c r="C7" s="10">
        <v>6838</v>
      </c>
      <c r="D7" s="10">
        <v>3283</v>
      </c>
      <c r="E7" s="10">
        <v>3541</v>
      </c>
      <c r="F7" s="10"/>
      <c r="G7" s="10">
        <v>635</v>
      </c>
      <c r="H7" s="10">
        <v>1075</v>
      </c>
      <c r="I7" s="10">
        <v>1093</v>
      </c>
      <c r="J7" s="10">
        <v>1228</v>
      </c>
      <c r="K7" s="10">
        <v>1156</v>
      </c>
      <c r="L7" s="10">
        <v>1651</v>
      </c>
      <c r="M7" s="10"/>
      <c r="N7" s="10">
        <v>208</v>
      </c>
      <c r="O7" s="10">
        <v>200</v>
      </c>
      <c r="P7" s="10">
        <v>1002</v>
      </c>
      <c r="Q7" s="10">
        <v>1000</v>
      </c>
      <c r="R7" s="10">
        <v>1004</v>
      </c>
      <c r="S7" s="10">
        <v>1006</v>
      </c>
      <c r="T7" s="10">
        <v>1006</v>
      </c>
      <c r="U7" s="10">
        <v>1007</v>
      </c>
      <c r="V7" s="10">
        <v>405</v>
      </c>
      <c r="W7" s="10"/>
      <c r="X7" s="10">
        <v>2650</v>
      </c>
      <c r="Y7" s="10">
        <v>4188</v>
      </c>
    </row>
    <row r="8" spans="2:25" ht="30" customHeight="1" x14ac:dyDescent="0.35">
      <c r="B8" s="11" t="s">
        <v>20</v>
      </c>
      <c r="C8" s="11">
        <v>6838</v>
      </c>
      <c r="D8" s="11">
        <v>3309</v>
      </c>
      <c r="E8" s="11">
        <v>3515</v>
      </c>
      <c r="F8" s="11"/>
      <c r="G8" s="11">
        <v>645</v>
      </c>
      <c r="H8" s="11">
        <v>1026</v>
      </c>
      <c r="I8" s="11">
        <v>1111</v>
      </c>
      <c r="J8" s="11">
        <v>1184</v>
      </c>
      <c r="K8" s="11">
        <v>1140</v>
      </c>
      <c r="L8" s="11">
        <v>1732</v>
      </c>
      <c r="M8" s="11"/>
      <c r="N8" s="11">
        <v>208</v>
      </c>
      <c r="O8" s="11">
        <v>200</v>
      </c>
      <c r="P8" s="11">
        <v>1002</v>
      </c>
      <c r="Q8" s="11">
        <v>1000</v>
      </c>
      <c r="R8" s="11">
        <v>1004</v>
      </c>
      <c r="S8" s="11">
        <v>1006</v>
      </c>
      <c r="T8" s="11">
        <v>1006</v>
      </c>
      <c r="U8" s="11">
        <v>1007</v>
      </c>
      <c r="V8" s="11">
        <v>405</v>
      </c>
      <c r="W8" s="11"/>
      <c r="X8" s="11">
        <v>2436</v>
      </c>
      <c r="Y8" s="11">
        <v>4402</v>
      </c>
    </row>
    <row r="9" spans="2:25" ht="29" x14ac:dyDescent="0.35">
      <c r="B9" s="18" t="s">
        <v>222</v>
      </c>
      <c r="C9" s="17">
        <v>0.46363521919635597</v>
      </c>
      <c r="D9" s="17">
        <v>0.42724576819106302</v>
      </c>
      <c r="E9" s="17">
        <v>0.49856556927379903</v>
      </c>
      <c r="F9" s="17"/>
      <c r="G9" s="17">
        <v>0.240598876139624</v>
      </c>
      <c r="H9" s="17">
        <v>0.31693737676817701</v>
      </c>
      <c r="I9" s="17">
        <v>0.36155143647575499</v>
      </c>
      <c r="J9" s="17">
        <v>0.44542976210082802</v>
      </c>
      <c r="K9" s="17">
        <v>0.56828761066056299</v>
      </c>
      <c r="L9" s="17">
        <v>0.64251875064611497</v>
      </c>
      <c r="M9" s="17"/>
      <c r="N9" s="17">
        <v>0.54028588944714695</v>
      </c>
      <c r="O9" s="17">
        <v>0.48865424337756003</v>
      </c>
      <c r="P9" s="17">
        <v>0.52199176386306501</v>
      </c>
      <c r="Q9" s="17">
        <v>0.467071784360442</v>
      </c>
      <c r="R9" s="17">
        <v>0.439465785080972</v>
      </c>
      <c r="S9" s="17">
        <v>0.54012459318001504</v>
      </c>
      <c r="T9" s="17">
        <v>0.40408199372328302</v>
      </c>
      <c r="U9" s="17">
        <v>0.36956069100073502</v>
      </c>
      <c r="V9" s="17">
        <v>0.51080664925721997</v>
      </c>
      <c r="W9" s="17"/>
      <c r="X9" s="17">
        <v>0.38393060137259899</v>
      </c>
      <c r="Y9" s="17">
        <v>0.50774108665972395</v>
      </c>
    </row>
    <row r="10" spans="2:25" ht="29" x14ac:dyDescent="0.35">
      <c r="B10" s="18" t="s">
        <v>223</v>
      </c>
      <c r="C10" s="17">
        <v>0.493976125394475</v>
      </c>
      <c r="D10" s="17">
        <v>0.534861458218715</v>
      </c>
      <c r="E10" s="17">
        <v>0.45464373507788403</v>
      </c>
      <c r="F10" s="17"/>
      <c r="G10" s="17">
        <v>0.72988103940916105</v>
      </c>
      <c r="H10" s="17">
        <v>0.64786385398521396</v>
      </c>
      <c r="I10" s="17">
        <v>0.60784646370739204</v>
      </c>
      <c r="J10" s="17">
        <v>0.50317790268173401</v>
      </c>
      <c r="K10" s="17">
        <v>0.38716748977486898</v>
      </c>
      <c r="L10" s="17">
        <v>0.30605871172494598</v>
      </c>
      <c r="M10" s="17"/>
      <c r="N10" s="17">
        <v>0.43333454536573401</v>
      </c>
      <c r="O10" s="17">
        <v>0.49482257264060298</v>
      </c>
      <c r="P10" s="17">
        <v>0.40607368932683002</v>
      </c>
      <c r="Q10" s="17">
        <v>0.49864955259808003</v>
      </c>
      <c r="R10" s="17">
        <v>0.50502687210235397</v>
      </c>
      <c r="S10" s="17">
        <v>0.431701590859141</v>
      </c>
      <c r="T10" s="17">
        <v>0.54974759987585597</v>
      </c>
      <c r="U10" s="17">
        <v>0.59277949015331399</v>
      </c>
      <c r="V10" s="17">
        <v>0.473731960802737</v>
      </c>
      <c r="W10" s="17"/>
      <c r="X10" s="17">
        <v>0.59104232570026205</v>
      </c>
      <c r="Y10" s="17">
        <v>0.44026293934888999</v>
      </c>
    </row>
    <row r="11" spans="2:25" x14ac:dyDescent="0.35">
      <c r="B11" s="18" t="s">
        <v>224</v>
      </c>
      <c r="C11" s="19">
        <v>4.2388655409168897E-2</v>
      </c>
      <c r="D11" s="19">
        <v>3.7892773590222001E-2</v>
      </c>
      <c r="E11" s="19">
        <v>4.6790695648316699E-2</v>
      </c>
      <c r="F11" s="19"/>
      <c r="G11" s="19">
        <v>2.9520084451215099E-2</v>
      </c>
      <c r="H11" s="19">
        <v>3.5198769246608801E-2</v>
      </c>
      <c r="I11" s="19">
        <v>3.0602099816852701E-2</v>
      </c>
      <c r="J11" s="19">
        <v>5.1392335217437399E-2</v>
      </c>
      <c r="K11" s="19">
        <v>4.4544899564568002E-2</v>
      </c>
      <c r="L11" s="19">
        <v>5.1422537628939197E-2</v>
      </c>
      <c r="M11" s="19"/>
      <c r="N11" s="19">
        <v>2.63795651871187E-2</v>
      </c>
      <c r="O11" s="19">
        <v>1.6523183981836598E-2</v>
      </c>
      <c r="P11" s="19">
        <v>7.1934546810104805E-2</v>
      </c>
      <c r="Q11" s="19">
        <v>3.42786630414781E-2</v>
      </c>
      <c r="R11" s="19">
        <v>5.5507342816673598E-2</v>
      </c>
      <c r="S11" s="19">
        <v>2.8173815960843701E-2</v>
      </c>
      <c r="T11" s="19">
        <v>4.61704064008613E-2</v>
      </c>
      <c r="U11" s="19">
        <v>3.7659818845951001E-2</v>
      </c>
      <c r="V11" s="19">
        <v>1.54613899400435E-2</v>
      </c>
      <c r="W11" s="19"/>
      <c r="X11" s="19">
        <v>2.5027072927139401E-2</v>
      </c>
      <c r="Y11" s="19">
        <v>5.1995973991386397E-2</v>
      </c>
    </row>
    <row r="12" spans="2:25" x14ac:dyDescent="0.35">
      <c r="B12" s="16"/>
    </row>
    <row r="13" spans="2:25" x14ac:dyDescent="0.35">
      <c r="B13" t="s">
        <v>51</v>
      </c>
    </row>
    <row r="14" spans="2:25" x14ac:dyDescent="0.35">
      <c r="B14" t="s">
        <v>52</v>
      </c>
    </row>
    <row r="16" spans="2:25" x14ac:dyDescent="0.35">
      <c r="B16" s="8" t="str">
        <f>HYPERLINK("#'Contents'!A1", "Return to Contents")</f>
        <v>Return to Contents</v>
      </c>
    </row>
  </sheetData>
  <mergeCells count="5">
    <mergeCell ref="D5:E5"/>
    <mergeCell ref="G5:L5"/>
    <mergeCell ref="N5:V5"/>
    <mergeCell ref="X5:Y5"/>
    <mergeCell ref="D2:W2"/>
  </mergeCells>
  <pageMargins left="0.7" right="0.7" top="0.75" bottom="0.75" header="0.3" footer="0.3"/>
  <pageSetup paperSize="9" orientation="portrait" horizontalDpi="300" verticalDpi="300"/>
  <drawing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B2:Y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s>
  <sheetData>
    <row r="2" spans="2:25" ht="40" customHeight="1" x14ac:dyDescent="0.35">
      <c r="D2" s="30" t="s">
        <v>245</v>
      </c>
      <c r="E2" s="26"/>
      <c r="F2" s="26"/>
      <c r="G2" s="26"/>
      <c r="H2" s="26"/>
      <c r="I2" s="26"/>
      <c r="J2" s="26"/>
      <c r="K2" s="26"/>
      <c r="L2" s="26"/>
      <c r="M2" s="26"/>
      <c r="N2" s="26"/>
      <c r="O2" s="26"/>
      <c r="P2" s="26"/>
      <c r="Q2" s="26"/>
      <c r="R2" s="26"/>
      <c r="S2" s="26"/>
      <c r="T2" s="26"/>
      <c r="U2" s="26"/>
      <c r="V2" s="26"/>
      <c r="W2" s="26"/>
    </row>
    <row r="5" spans="2:25" ht="30" customHeight="1" x14ac:dyDescent="0.35">
      <c r="B5" s="15"/>
      <c r="C5" s="15"/>
      <c r="D5" s="29" t="s">
        <v>38</v>
      </c>
      <c r="E5" s="29"/>
      <c r="F5" s="15"/>
      <c r="G5" s="29" t="s">
        <v>39</v>
      </c>
      <c r="H5" s="29"/>
      <c r="I5" s="29"/>
      <c r="J5" s="29"/>
      <c r="K5" s="29"/>
      <c r="L5" s="29"/>
      <c r="M5" s="15"/>
      <c r="N5" s="29" t="s">
        <v>40</v>
      </c>
      <c r="O5" s="29"/>
      <c r="P5" s="29"/>
      <c r="Q5" s="29"/>
      <c r="R5" s="29"/>
      <c r="S5" s="29"/>
      <c r="T5" s="29"/>
      <c r="U5" s="29"/>
      <c r="V5" s="29"/>
      <c r="W5" s="15"/>
      <c r="X5" s="29" t="s">
        <v>41</v>
      </c>
      <c r="Y5" s="29"/>
    </row>
    <row r="6" spans="2:25" ht="29"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row>
    <row r="7" spans="2:25" ht="30" customHeight="1" x14ac:dyDescent="0.35">
      <c r="B7" s="10" t="s">
        <v>19</v>
      </c>
      <c r="C7" s="10">
        <v>6838</v>
      </c>
      <c r="D7" s="10">
        <v>3283</v>
      </c>
      <c r="E7" s="10">
        <v>3541</v>
      </c>
      <c r="F7" s="10"/>
      <c r="G7" s="10">
        <v>635</v>
      </c>
      <c r="H7" s="10">
        <v>1075</v>
      </c>
      <c r="I7" s="10">
        <v>1093</v>
      </c>
      <c r="J7" s="10">
        <v>1228</v>
      </c>
      <c r="K7" s="10">
        <v>1156</v>
      </c>
      <c r="L7" s="10">
        <v>1651</v>
      </c>
      <c r="M7" s="10"/>
      <c r="N7" s="10">
        <v>208</v>
      </c>
      <c r="O7" s="10">
        <v>200</v>
      </c>
      <c r="P7" s="10">
        <v>1002</v>
      </c>
      <c r="Q7" s="10">
        <v>1000</v>
      </c>
      <c r="R7" s="10">
        <v>1004</v>
      </c>
      <c r="S7" s="10">
        <v>1006</v>
      </c>
      <c r="T7" s="10">
        <v>1006</v>
      </c>
      <c r="U7" s="10">
        <v>1007</v>
      </c>
      <c r="V7" s="10">
        <v>405</v>
      </c>
      <c r="W7" s="10"/>
      <c r="X7" s="10">
        <v>2650</v>
      </c>
      <c r="Y7" s="10">
        <v>4188</v>
      </c>
    </row>
    <row r="8" spans="2:25" ht="30" customHeight="1" x14ac:dyDescent="0.35">
      <c r="B8" s="11" t="s">
        <v>20</v>
      </c>
      <c r="C8" s="11">
        <v>6838</v>
      </c>
      <c r="D8" s="11">
        <v>3309</v>
      </c>
      <c r="E8" s="11">
        <v>3515</v>
      </c>
      <c r="F8" s="11"/>
      <c r="G8" s="11">
        <v>645</v>
      </c>
      <c r="H8" s="11">
        <v>1026</v>
      </c>
      <c r="I8" s="11">
        <v>1111</v>
      </c>
      <c r="J8" s="11">
        <v>1184</v>
      </c>
      <c r="K8" s="11">
        <v>1140</v>
      </c>
      <c r="L8" s="11">
        <v>1732</v>
      </c>
      <c r="M8" s="11"/>
      <c r="N8" s="11">
        <v>208</v>
      </c>
      <c r="O8" s="11">
        <v>200</v>
      </c>
      <c r="P8" s="11">
        <v>1002</v>
      </c>
      <c r="Q8" s="11">
        <v>1000</v>
      </c>
      <c r="R8" s="11">
        <v>1004</v>
      </c>
      <c r="S8" s="11">
        <v>1006</v>
      </c>
      <c r="T8" s="11">
        <v>1006</v>
      </c>
      <c r="U8" s="11">
        <v>1007</v>
      </c>
      <c r="V8" s="11">
        <v>405</v>
      </c>
      <c r="W8" s="11"/>
      <c r="X8" s="11">
        <v>2436</v>
      </c>
      <c r="Y8" s="11">
        <v>4402</v>
      </c>
    </row>
    <row r="9" spans="2:25" ht="29" x14ac:dyDescent="0.35">
      <c r="B9" s="18" t="s">
        <v>222</v>
      </c>
      <c r="C9" s="17">
        <v>0.57698141768701905</v>
      </c>
      <c r="D9" s="17">
        <v>0.54024189078007301</v>
      </c>
      <c r="E9" s="17">
        <v>0.61185740161782898</v>
      </c>
      <c r="F9" s="17"/>
      <c r="G9" s="17">
        <v>0.30927403743149501</v>
      </c>
      <c r="H9" s="17">
        <v>0.44976455790852998</v>
      </c>
      <c r="I9" s="17">
        <v>0.52080233506467699</v>
      </c>
      <c r="J9" s="17">
        <v>0.56874746404069298</v>
      </c>
      <c r="K9" s="17">
        <v>0.67843328419359905</v>
      </c>
      <c r="L9" s="17">
        <v>0.72680361748779898</v>
      </c>
      <c r="M9" s="17"/>
      <c r="N9" s="17">
        <v>0.60932443777003897</v>
      </c>
      <c r="O9" s="17">
        <v>0.55106569426088803</v>
      </c>
      <c r="P9" s="17">
        <v>0.58735860252310301</v>
      </c>
      <c r="Q9" s="17">
        <v>0.58397567923964</v>
      </c>
      <c r="R9" s="17">
        <v>0.56989002959860302</v>
      </c>
      <c r="S9" s="17">
        <v>0.59500111707964398</v>
      </c>
      <c r="T9" s="17">
        <v>0.56303660173929704</v>
      </c>
      <c r="U9" s="17">
        <v>0.54071239515653002</v>
      </c>
      <c r="V9" s="17">
        <v>0.62786270739808303</v>
      </c>
      <c r="W9" s="17"/>
      <c r="X9" s="17">
        <v>0.457980469273435</v>
      </c>
      <c r="Y9" s="17">
        <v>0.64283255908952197</v>
      </c>
    </row>
    <row r="10" spans="2:25" ht="29" x14ac:dyDescent="0.35">
      <c r="B10" s="18" t="s">
        <v>223</v>
      </c>
      <c r="C10" s="17">
        <v>0.376369357187887</v>
      </c>
      <c r="D10" s="17">
        <v>0.41938603053991602</v>
      </c>
      <c r="E10" s="17">
        <v>0.33539740115062999</v>
      </c>
      <c r="F10" s="17"/>
      <c r="G10" s="17">
        <v>0.660954264968032</v>
      </c>
      <c r="H10" s="17">
        <v>0.52140236164464304</v>
      </c>
      <c r="I10" s="17">
        <v>0.44896266342805002</v>
      </c>
      <c r="J10" s="17">
        <v>0.37826111983317001</v>
      </c>
      <c r="K10" s="17">
        <v>0.27205658180266001</v>
      </c>
      <c r="L10" s="17">
        <v>0.205407437625613</v>
      </c>
      <c r="M10" s="17"/>
      <c r="N10" s="17">
        <v>0.372479062374026</v>
      </c>
      <c r="O10" s="17">
        <v>0.419848050854847</v>
      </c>
      <c r="P10" s="17">
        <v>0.33108747173856201</v>
      </c>
      <c r="Q10" s="17">
        <v>0.39057519351731501</v>
      </c>
      <c r="R10" s="17">
        <v>0.36057365930893498</v>
      </c>
      <c r="S10" s="17">
        <v>0.37907353292787699</v>
      </c>
      <c r="T10" s="17">
        <v>0.386281566900193</v>
      </c>
      <c r="U10" s="17">
        <v>0.410792841003563</v>
      </c>
      <c r="V10" s="17">
        <v>0.35607899714285601</v>
      </c>
      <c r="W10" s="17"/>
      <c r="X10" s="17">
        <v>0.52198601903144104</v>
      </c>
      <c r="Y10" s="17">
        <v>0.29578997091027598</v>
      </c>
    </row>
    <row r="11" spans="2:25" x14ac:dyDescent="0.35">
      <c r="B11" s="18" t="s">
        <v>224</v>
      </c>
      <c r="C11" s="19">
        <v>4.6649225125093403E-2</v>
      </c>
      <c r="D11" s="19">
        <v>4.0372078680010498E-2</v>
      </c>
      <c r="E11" s="19">
        <v>5.2745197231542001E-2</v>
      </c>
      <c r="F11" s="19"/>
      <c r="G11" s="19">
        <v>2.97716976004734E-2</v>
      </c>
      <c r="H11" s="19">
        <v>2.88330804468271E-2</v>
      </c>
      <c r="I11" s="19">
        <v>3.0235001507272999E-2</v>
      </c>
      <c r="J11" s="19">
        <v>5.2991416126136899E-2</v>
      </c>
      <c r="K11" s="19">
        <v>4.95101340037407E-2</v>
      </c>
      <c r="L11" s="19">
        <v>6.7788944886587502E-2</v>
      </c>
      <c r="M11" s="19"/>
      <c r="N11" s="19">
        <v>1.8196499855935602E-2</v>
      </c>
      <c r="O11" s="19">
        <v>2.90862548842643E-2</v>
      </c>
      <c r="P11" s="19">
        <v>8.1553925738335101E-2</v>
      </c>
      <c r="Q11" s="19">
        <v>2.54491272430445E-2</v>
      </c>
      <c r="R11" s="19">
        <v>6.9536311092461903E-2</v>
      </c>
      <c r="S11" s="19">
        <v>2.59253499924787E-2</v>
      </c>
      <c r="T11" s="19">
        <v>5.068183136051E-2</v>
      </c>
      <c r="U11" s="19">
        <v>4.8494763839907903E-2</v>
      </c>
      <c r="V11" s="19">
        <v>1.60582954590603E-2</v>
      </c>
      <c r="W11" s="19"/>
      <c r="X11" s="19">
        <v>2.0033511695123501E-2</v>
      </c>
      <c r="Y11" s="19">
        <v>6.1377470000202002E-2</v>
      </c>
    </row>
    <row r="12" spans="2:25" x14ac:dyDescent="0.35">
      <c r="B12" s="16"/>
    </row>
    <row r="13" spans="2:25" x14ac:dyDescent="0.35">
      <c r="B13" t="s">
        <v>51</v>
      </c>
    </row>
    <row r="14" spans="2:25" x14ac:dyDescent="0.35">
      <c r="B14" t="s">
        <v>52</v>
      </c>
    </row>
    <row r="16" spans="2:25" x14ac:dyDescent="0.35">
      <c r="B16" s="8" t="str">
        <f>HYPERLINK("#'Contents'!A1", "Return to Contents")</f>
        <v>Return to Contents</v>
      </c>
    </row>
  </sheetData>
  <mergeCells count="5">
    <mergeCell ref="D5:E5"/>
    <mergeCell ref="G5:L5"/>
    <mergeCell ref="N5:V5"/>
    <mergeCell ref="X5:Y5"/>
    <mergeCell ref="D2:W2"/>
  </mergeCells>
  <pageMargins left="0.7" right="0.7" top="0.75" bottom="0.75" header="0.3" footer="0.3"/>
  <pageSetup paperSize="9" orientation="portrait" horizontalDpi="300" verticalDpi="300"/>
  <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B2:Y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s>
  <sheetData>
    <row r="2" spans="2:25" ht="40" customHeight="1" x14ac:dyDescent="0.35">
      <c r="D2" s="30" t="s">
        <v>246</v>
      </c>
      <c r="E2" s="26"/>
      <c r="F2" s="26"/>
      <c r="G2" s="26"/>
      <c r="H2" s="26"/>
      <c r="I2" s="26"/>
      <c r="J2" s="26"/>
      <c r="K2" s="26"/>
      <c r="L2" s="26"/>
      <c r="M2" s="26"/>
      <c r="N2" s="26"/>
      <c r="O2" s="26"/>
      <c r="P2" s="26"/>
      <c r="Q2" s="26"/>
      <c r="R2" s="26"/>
      <c r="S2" s="26"/>
      <c r="T2" s="26"/>
      <c r="U2" s="26"/>
      <c r="V2" s="26"/>
      <c r="W2" s="26"/>
    </row>
    <row r="5" spans="2:25" ht="30" customHeight="1" x14ac:dyDescent="0.35">
      <c r="B5" s="15"/>
      <c r="C5" s="15"/>
      <c r="D5" s="29" t="s">
        <v>38</v>
      </c>
      <c r="E5" s="29"/>
      <c r="F5" s="15"/>
      <c r="G5" s="29" t="s">
        <v>39</v>
      </c>
      <c r="H5" s="29"/>
      <c r="I5" s="29"/>
      <c r="J5" s="29"/>
      <c r="K5" s="29"/>
      <c r="L5" s="29"/>
      <c r="M5" s="15"/>
      <c r="N5" s="29" t="s">
        <v>40</v>
      </c>
      <c r="O5" s="29"/>
      <c r="P5" s="29"/>
      <c r="Q5" s="29"/>
      <c r="R5" s="29"/>
      <c r="S5" s="29"/>
      <c r="T5" s="29"/>
      <c r="U5" s="29"/>
      <c r="V5" s="29"/>
      <c r="W5" s="15"/>
      <c r="X5" s="29" t="s">
        <v>41</v>
      </c>
      <c r="Y5" s="29"/>
    </row>
    <row r="6" spans="2:25" ht="29"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row>
    <row r="7" spans="2:25" ht="30" customHeight="1" x14ac:dyDescent="0.35">
      <c r="B7" s="10" t="s">
        <v>19</v>
      </c>
      <c r="C7" s="10">
        <v>6838</v>
      </c>
      <c r="D7" s="10">
        <v>3283</v>
      </c>
      <c r="E7" s="10">
        <v>3541</v>
      </c>
      <c r="F7" s="10"/>
      <c r="G7" s="10">
        <v>635</v>
      </c>
      <c r="H7" s="10">
        <v>1075</v>
      </c>
      <c r="I7" s="10">
        <v>1093</v>
      </c>
      <c r="J7" s="10">
        <v>1228</v>
      </c>
      <c r="K7" s="10">
        <v>1156</v>
      </c>
      <c r="L7" s="10">
        <v>1651</v>
      </c>
      <c r="M7" s="10"/>
      <c r="N7" s="10">
        <v>208</v>
      </c>
      <c r="O7" s="10">
        <v>200</v>
      </c>
      <c r="P7" s="10">
        <v>1002</v>
      </c>
      <c r="Q7" s="10">
        <v>1000</v>
      </c>
      <c r="R7" s="10">
        <v>1004</v>
      </c>
      <c r="S7" s="10">
        <v>1006</v>
      </c>
      <c r="T7" s="10">
        <v>1006</v>
      </c>
      <c r="U7" s="10">
        <v>1007</v>
      </c>
      <c r="V7" s="10">
        <v>405</v>
      </c>
      <c r="W7" s="10"/>
      <c r="X7" s="10">
        <v>2650</v>
      </c>
      <c r="Y7" s="10">
        <v>4188</v>
      </c>
    </row>
    <row r="8" spans="2:25" ht="30" customHeight="1" x14ac:dyDescent="0.35">
      <c r="B8" s="11" t="s">
        <v>20</v>
      </c>
      <c r="C8" s="11">
        <v>6838</v>
      </c>
      <c r="D8" s="11">
        <v>3309</v>
      </c>
      <c r="E8" s="11">
        <v>3515</v>
      </c>
      <c r="F8" s="11"/>
      <c r="G8" s="11">
        <v>645</v>
      </c>
      <c r="H8" s="11">
        <v>1026</v>
      </c>
      <c r="I8" s="11">
        <v>1111</v>
      </c>
      <c r="J8" s="11">
        <v>1184</v>
      </c>
      <c r="K8" s="11">
        <v>1140</v>
      </c>
      <c r="L8" s="11">
        <v>1732</v>
      </c>
      <c r="M8" s="11"/>
      <c r="N8" s="11">
        <v>208</v>
      </c>
      <c r="O8" s="11">
        <v>200</v>
      </c>
      <c r="P8" s="11">
        <v>1002</v>
      </c>
      <c r="Q8" s="11">
        <v>1000</v>
      </c>
      <c r="R8" s="11">
        <v>1004</v>
      </c>
      <c r="S8" s="11">
        <v>1006</v>
      </c>
      <c r="T8" s="11">
        <v>1006</v>
      </c>
      <c r="U8" s="11">
        <v>1007</v>
      </c>
      <c r="V8" s="11">
        <v>405</v>
      </c>
      <c r="W8" s="11"/>
      <c r="X8" s="11">
        <v>2436</v>
      </c>
      <c r="Y8" s="11">
        <v>4402</v>
      </c>
    </row>
    <row r="9" spans="2:25" ht="29" x14ac:dyDescent="0.35">
      <c r="B9" s="18" t="s">
        <v>222</v>
      </c>
      <c r="C9" s="17">
        <v>0.64334048426544499</v>
      </c>
      <c r="D9" s="17">
        <v>0.59387037828670997</v>
      </c>
      <c r="E9" s="17">
        <v>0.68989935085797505</v>
      </c>
      <c r="F9" s="17"/>
      <c r="G9" s="17">
        <v>0.55985075005484297</v>
      </c>
      <c r="H9" s="17">
        <v>0.54568337089188301</v>
      </c>
      <c r="I9" s="17">
        <v>0.57910437741061604</v>
      </c>
      <c r="J9" s="17">
        <v>0.63898663499122998</v>
      </c>
      <c r="K9" s="17">
        <v>0.68829596947613603</v>
      </c>
      <c r="L9" s="17">
        <v>0.74681151191338102</v>
      </c>
      <c r="M9" s="17"/>
      <c r="N9" s="17">
        <v>0.69840010787663698</v>
      </c>
      <c r="O9" s="17">
        <v>0.67139848335757402</v>
      </c>
      <c r="P9" s="17">
        <v>0.64004319153917999</v>
      </c>
      <c r="Q9" s="17">
        <v>0.65298437500386397</v>
      </c>
      <c r="R9" s="17">
        <v>0.62043321714313404</v>
      </c>
      <c r="S9" s="17">
        <v>0.701829317016744</v>
      </c>
      <c r="T9" s="17">
        <v>0.62618150454072197</v>
      </c>
      <c r="U9" s="17">
        <v>0.57198734018077402</v>
      </c>
      <c r="V9" s="17">
        <v>0.71709276866808802</v>
      </c>
      <c r="W9" s="17"/>
      <c r="X9" s="17">
        <v>0.53069572605941195</v>
      </c>
      <c r="Y9" s="17">
        <v>0.705674322774831</v>
      </c>
    </row>
    <row r="10" spans="2:25" ht="29" x14ac:dyDescent="0.35">
      <c r="B10" s="18" t="s">
        <v>223</v>
      </c>
      <c r="C10" s="17">
        <v>0.292369355569843</v>
      </c>
      <c r="D10" s="17">
        <v>0.35313276643570102</v>
      </c>
      <c r="E10" s="17">
        <v>0.23492171370461101</v>
      </c>
      <c r="F10" s="17"/>
      <c r="G10" s="17">
        <v>0.37106665312808002</v>
      </c>
      <c r="H10" s="17">
        <v>0.40737948300612198</v>
      </c>
      <c r="I10" s="17">
        <v>0.37052834344622798</v>
      </c>
      <c r="J10" s="17">
        <v>0.29692508969140402</v>
      </c>
      <c r="K10" s="17">
        <v>0.24812107829991301</v>
      </c>
      <c r="L10" s="17">
        <v>0.17087476810071001</v>
      </c>
      <c r="M10" s="17"/>
      <c r="N10" s="17">
        <v>0.26661645577980703</v>
      </c>
      <c r="O10" s="17">
        <v>0.25028684438780702</v>
      </c>
      <c r="P10" s="17">
        <v>0.26826607418725401</v>
      </c>
      <c r="Q10" s="17">
        <v>0.30901896836784798</v>
      </c>
      <c r="R10" s="17">
        <v>0.29713295378028898</v>
      </c>
      <c r="S10" s="17">
        <v>0.245448656054474</v>
      </c>
      <c r="T10" s="17">
        <v>0.30729432836208298</v>
      </c>
      <c r="U10" s="17">
        <v>0.35734047677161102</v>
      </c>
      <c r="V10" s="17">
        <v>0.251021478952764</v>
      </c>
      <c r="W10" s="17"/>
      <c r="X10" s="17">
        <v>0.43276481680856699</v>
      </c>
      <c r="Y10" s="17">
        <v>0.214679206931957</v>
      </c>
    </row>
    <row r="11" spans="2:25" x14ac:dyDescent="0.35">
      <c r="B11" s="18" t="s">
        <v>224</v>
      </c>
      <c r="C11" s="19">
        <v>6.4290160164712395E-2</v>
      </c>
      <c r="D11" s="19">
        <v>5.29968552775891E-2</v>
      </c>
      <c r="E11" s="19">
        <v>7.5178935437413899E-2</v>
      </c>
      <c r="F11" s="19"/>
      <c r="G11" s="19">
        <v>6.9082596817077097E-2</v>
      </c>
      <c r="H11" s="19">
        <v>4.6937146101995501E-2</v>
      </c>
      <c r="I11" s="19">
        <v>5.0367279143155898E-2</v>
      </c>
      <c r="J11" s="19">
        <v>6.4088275317365703E-2</v>
      </c>
      <c r="K11" s="19">
        <v>6.3582952223950606E-2</v>
      </c>
      <c r="L11" s="19">
        <v>8.2313719985908904E-2</v>
      </c>
      <c r="M11" s="19"/>
      <c r="N11" s="19">
        <v>3.4983436343556197E-2</v>
      </c>
      <c r="O11" s="19">
        <v>7.8314672254619397E-2</v>
      </c>
      <c r="P11" s="19">
        <v>9.1690734273566402E-2</v>
      </c>
      <c r="Q11" s="19">
        <v>3.7996656628287898E-2</v>
      </c>
      <c r="R11" s="19">
        <v>8.2433829076576204E-2</v>
      </c>
      <c r="S11" s="19">
        <v>5.27220269287818E-2</v>
      </c>
      <c r="T11" s="19">
        <v>6.6524167097194498E-2</v>
      </c>
      <c r="U11" s="19">
        <v>7.0672183047614995E-2</v>
      </c>
      <c r="V11" s="19">
        <v>3.1885752379148702E-2</v>
      </c>
      <c r="W11" s="19"/>
      <c r="X11" s="19">
        <v>3.6539457132020899E-2</v>
      </c>
      <c r="Y11" s="19">
        <v>7.9646470293212299E-2</v>
      </c>
    </row>
    <row r="12" spans="2:25" x14ac:dyDescent="0.35">
      <c r="B12" s="16"/>
    </row>
    <row r="13" spans="2:25" x14ac:dyDescent="0.35">
      <c r="B13" t="s">
        <v>51</v>
      </c>
    </row>
    <row r="14" spans="2:25" x14ac:dyDescent="0.35">
      <c r="B14" t="s">
        <v>52</v>
      </c>
    </row>
    <row r="16" spans="2:25" x14ac:dyDescent="0.35">
      <c r="B16" s="8" t="str">
        <f>HYPERLINK("#'Contents'!A1", "Return to Contents")</f>
        <v>Return to Contents</v>
      </c>
    </row>
  </sheetData>
  <mergeCells count="5">
    <mergeCell ref="D5:E5"/>
    <mergeCell ref="G5:L5"/>
    <mergeCell ref="N5:V5"/>
    <mergeCell ref="X5:Y5"/>
    <mergeCell ref="D2:W2"/>
  </mergeCells>
  <pageMargins left="0.7" right="0.7" top="0.75" bottom="0.75" header="0.3" footer="0.3"/>
  <pageSetup paperSize="9" orientation="portrait" horizontalDpi="300" verticalDpi="300"/>
  <drawing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B2:Y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s>
  <sheetData>
    <row r="2" spans="2:25" ht="40" customHeight="1" x14ac:dyDescent="0.35">
      <c r="D2" s="30" t="s">
        <v>247</v>
      </c>
      <c r="E2" s="26"/>
      <c r="F2" s="26"/>
      <c r="G2" s="26"/>
      <c r="H2" s="26"/>
      <c r="I2" s="26"/>
      <c r="J2" s="26"/>
      <c r="K2" s="26"/>
      <c r="L2" s="26"/>
      <c r="M2" s="26"/>
      <c r="N2" s="26"/>
      <c r="O2" s="26"/>
      <c r="P2" s="26"/>
      <c r="Q2" s="26"/>
      <c r="R2" s="26"/>
      <c r="S2" s="26"/>
      <c r="T2" s="26"/>
      <c r="U2" s="26"/>
      <c r="V2" s="26"/>
      <c r="W2" s="26"/>
    </row>
    <row r="5" spans="2:25" ht="30" customHeight="1" x14ac:dyDescent="0.35">
      <c r="B5" s="15"/>
      <c r="C5" s="15"/>
      <c r="D5" s="29" t="s">
        <v>38</v>
      </c>
      <c r="E5" s="29"/>
      <c r="F5" s="15"/>
      <c r="G5" s="29" t="s">
        <v>39</v>
      </c>
      <c r="H5" s="29"/>
      <c r="I5" s="29"/>
      <c r="J5" s="29"/>
      <c r="K5" s="29"/>
      <c r="L5" s="29"/>
      <c r="M5" s="15"/>
      <c r="N5" s="29" t="s">
        <v>40</v>
      </c>
      <c r="O5" s="29"/>
      <c r="P5" s="29"/>
      <c r="Q5" s="29"/>
      <c r="R5" s="29"/>
      <c r="S5" s="29"/>
      <c r="T5" s="29"/>
      <c r="U5" s="29"/>
      <c r="V5" s="29"/>
      <c r="W5" s="15"/>
      <c r="X5" s="29" t="s">
        <v>41</v>
      </c>
      <c r="Y5" s="29"/>
    </row>
    <row r="6" spans="2:25" ht="29"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row>
    <row r="7" spans="2:25" ht="30" customHeight="1" x14ac:dyDescent="0.35">
      <c r="B7" s="10" t="s">
        <v>19</v>
      </c>
      <c r="C7" s="10">
        <v>6838</v>
      </c>
      <c r="D7" s="10">
        <v>3283</v>
      </c>
      <c r="E7" s="10">
        <v>3541</v>
      </c>
      <c r="F7" s="10"/>
      <c r="G7" s="10">
        <v>635</v>
      </c>
      <c r="H7" s="10">
        <v>1075</v>
      </c>
      <c r="I7" s="10">
        <v>1093</v>
      </c>
      <c r="J7" s="10">
        <v>1228</v>
      </c>
      <c r="K7" s="10">
        <v>1156</v>
      </c>
      <c r="L7" s="10">
        <v>1651</v>
      </c>
      <c r="M7" s="10"/>
      <c r="N7" s="10">
        <v>208</v>
      </c>
      <c r="O7" s="10">
        <v>200</v>
      </c>
      <c r="P7" s="10">
        <v>1002</v>
      </c>
      <c r="Q7" s="10">
        <v>1000</v>
      </c>
      <c r="R7" s="10">
        <v>1004</v>
      </c>
      <c r="S7" s="10">
        <v>1006</v>
      </c>
      <c r="T7" s="10">
        <v>1006</v>
      </c>
      <c r="U7" s="10">
        <v>1007</v>
      </c>
      <c r="V7" s="10">
        <v>405</v>
      </c>
      <c r="W7" s="10"/>
      <c r="X7" s="10">
        <v>2650</v>
      </c>
      <c r="Y7" s="10">
        <v>4188</v>
      </c>
    </row>
    <row r="8" spans="2:25" ht="30" customHeight="1" x14ac:dyDescent="0.35">
      <c r="B8" s="11" t="s">
        <v>20</v>
      </c>
      <c r="C8" s="11">
        <v>6838</v>
      </c>
      <c r="D8" s="11">
        <v>3309</v>
      </c>
      <c r="E8" s="11">
        <v>3515</v>
      </c>
      <c r="F8" s="11"/>
      <c r="G8" s="11">
        <v>645</v>
      </c>
      <c r="H8" s="11">
        <v>1026</v>
      </c>
      <c r="I8" s="11">
        <v>1111</v>
      </c>
      <c r="J8" s="11">
        <v>1184</v>
      </c>
      <c r="K8" s="11">
        <v>1140</v>
      </c>
      <c r="L8" s="11">
        <v>1732</v>
      </c>
      <c r="M8" s="11"/>
      <c r="N8" s="11">
        <v>208</v>
      </c>
      <c r="O8" s="11">
        <v>200</v>
      </c>
      <c r="P8" s="11">
        <v>1002</v>
      </c>
      <c r="Q8" s="11">
        <v>1000</v>
      </c>
      <c r="R8" s="11">
        <v>1004</v>
      </c>
      <c r="S8" s="11">
        <v>1006</v>
      </c>
      <c r="T8" s="11">
        <v>1006</v>
      </c>
      <c r="U8" s="11">
        <v>1007</v>
      </c>
      <c r="V8" s="11">
        <v>405</v>
      </c>
      <c r="W8" s="11"/>
      <c r="X8" s="11">
        <v>2436</v>
      </c>
      <c r="Y8" s="11">
        <v>4402</v>
      </c>
    </row>
    <row r="9" spans="2:25" ht="29" x14ac:dyDescent="0.35">
      <c r="B9" s="18" t="s">
        <v>222</v>
      </c>
      <c r="C9" s="17">
        <v>0.78454345385366497</v>
      </c>
      <c r="D9" s="17">
        <v>0.76336845282382604</v>
      </c>
      <c r="E9" s="17">
        <v>0.80479753237398599</v>
      </c>
      <c r="F9" s="17"/>
      <c r="G9" s="17">
        <v>0.65620638532352804</v>
      </c>
      <c r="H9" s="17">
        <v>0.72472997040136</v>
      </c>
      <c r="I9" s="17">
        <v>0.75200225617374095</v>
      </c>
      <c r="J9" s="17">
        <v>0.81220369293981998</v>
      </c>
      <c r="K9" s="17">
        <v>0.83138517643455701</v>
      </c>
      <c r="L9" s="17">
        <v>0.83885227174795396</v>
      </c>
      <c r="M9" s="17"/>
      <c r="N9" s="17">
        <v>0.79490455285734196</v>
      </c>
      <c r="O9" s="17">
        <v>0.83358930578538404</v>
      </c>
      <c r="P9" s="17">
        <v>0.75361138293067897</v>
      </c>
      <c r="Q9" s="17">
        <v>0.82801662032031498</v>
      </c>
      <c r="R9" s="17">
        <v>0.77161552171994496</v>
      </c>
      <c r="S9" s="17">
        <v>0.817544205884572</v>
      </c>
      <c r="T9" s="17">
        <v>0.76811736413432796</v>
      </c>
      <c r="U9" s="17">
        <v>0.73266531655298595</v>
      </c>
      <c r="V9" s="17">
        <v>0.84405779325533503</v>
      </c>
      <c r="W9" s="17"/>
      <c r="X9" s="17">
        <v>0.75513392402605195</v>
      </c>
      <c r="Y9" s="17">
        <v>0.80081770320274204</v>
      </c>
    </row>
    <row r="10" spans="2:25" ht="29" x14ac:dyDescent="0.35">
      <c r="B10" s="18" t="s">
        <v>223</v>
      </c>
      <c r="C10" s="17">
        <v>0.13052964871233</v>
      </c>
      <c r="D10" s="17">
        <v>0.170314253890574</v>
      </c>
      <c r="E10" s="17">
        <v>9.2731062024610997E-2</v>
      </c>
      <c r="F10" s="17"/>
      <c r="G10" s="17">
        <v>0.26743888670049598</v>
      </c>
      <c r="H10" s="17">
        <v>0.21348729934087099</v>
      </c>
      <c r="I10" s="17">
        <v>0.17031759537762101</v>
      </c>
      <c r="J10" s="17">
        <v>0.100495316915408</v>
      </c>
      <c r="K10" s="17">
        <v>8.2922956668808098E-2</v>
      </c>
      <c r="L10" s="17">
        <v>5.6807130965704902E-2</v>
      </c>
      <c r="M10" s="17"/>
      <c r="N10" s="17">
        <v>0.16311390821437299</v>
      </c>
      <c r="O10" s="17">
        <v>7.6805104371141894E-2</v>
      </c>
      <c r="P10" s="17">
        <v>0.10965197888646799</v>
      </c>
      <c r="Q10" s="17">
        <v>0.12749419861686601</v>
      </c>
      <c r="R10" s="17">
        <v>0.11259077958801</v>
      </c>
      <c r="S10" s="17">
        <v>0.13434399753675599</v>
      </c>
      <c r="T10" s="17">
        <v>0.14613095396008999</v>
      </c>
      <c r="U10" s="17">
        <v>0.158549614483384</v>
      </c>
      <c r="V10" s="17">
        <v>0.12604725173834599</v>
      </c>
      <c r="W10" s="17"/>
      <c r="X10" s="17">
        <v>0.187246879015281</v>
      </c>
      <c r="Y10" s="17">
        <v>9.9144232020881004E-2</v>
      </c>
    </row>
    <row r="11" spans="2:25" x14ac:dyDescent="0.35">
      <c r="B11" s="18" t="s">
        <v>224</v>
      </c>
      <c r="C11" s="19">
        <v>8.4926897434004806E-2</v>
      </c>
      <c r="D11" s="19">
        <v>6.6317293285600099E-2</v>
      </c>
      <c r="E11" s="19">
        <v>0.102471405601403</v>
      </c>
      <c r="F11" s="19"/>
      <c r="G11" s="19">
        <v>7.6354727975976699E-2</v>
      </c>
      <c r="H11" s="19">
        <v>6.1782730257769099E-2</v>
      </c>
      <c r="I11" s="19">
        <v>7.7680148448637604E-2</v>
      </c>
      <c r="J11" s="19">
        <v>8.7300990144772106E-2</v>
      </c>
      <c r="K11" s="19">
        <v>8.5691866896634702E-2</v>
      </c>
      <c r="L11" s="19">
        <v>0.104340597286341</v>
      </c>
      <c r="M11" s="19"/>
      <c r="N11" s="19">
        <v>4.1981538928284899E-2</v>
      </c>
      <c r="O11" s="19">
        <v>8.9605589843473499E-2</v>
      </c>
      <c r="P11" s="19">
        <v>0.136736638182853</v>
      </c>
      <c r="Q11" s="19">
        <v>4.4489181062819398E-2</v>
      </c>
      <c r="R11" s="19">
        <v>0.11579369869204501</v>
      </c>
      <c r="S11" s="19">
        <v>4.8111796578672698E-2</v>
      </c>
      <c r="T11" s="19">
        <v>8.57516819055823E-2</v>
      </c>
      <c r="U11" s="19">
        <v>0.10878506896363099</v>
      </c>
      <c r="V11" s="19">
        <v>2.9894955006319002E-2</v>
      </c>
      <c r="W11" s="19"/>
      <c r="X11" s="19">
        <v>5.76191969586669E-2</v>
      </c>
      <c r="Y11" s="19">
        <v>0.100038064776377</v>
      </c>
    </row>
    <row r="12" spans="2:25" x14ac:dyDescent="0.35">
      <c r="B12" s="16"/>
    </row>
    <row r="13" spans="2:25" x14ac:dyDescent="0.35">
      <c r="B13" t="s">
        <v>51</v>
      </c>
    </row>
    <row r="14" spans="2:25" x14ac:dyDescent="0.35">
      <c r="B14" t="s">
        <v>52</v>
      </c>
    </row>
    <row r="16" spans="2:25" x14ac:dyDescent="0.35">
      <c r="B16" s="8" t="str">
        <f>HYPERLINK("#'Contents'!A1", "Return to Contents")</f>
        <v>Return to Contents</v>
      </c>
    </row>
  </sheetData>
  <mergeCells count="5">
    <mergeCell ref="D5:E5"/>
    <mergeCell ref="G5:L5"/>
    <mergeCell ref="N5:V5"/>
    <mergeCell ref="X5:Y5"/>
    <mergeCell ref="D2:W2"/>
  </mergeCells>
  <pageMargins left="0.7" right="0.7" top="0.75" bottom="0.75" header="0.3" footer="0.3"/>
  <pageSetup paperSize="9" orientation="portrait" horizontalDpi="300" verticalDpi="300"/>
  <drawing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B2:Y23"/>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s>
  <sheetData>
    <row r="2" spans="2:25" ht="40" customHeight="1" x14ac:dyDescent="0.35">
      <c r="D2" s="30" t="s">
        <v>256</v>
      </c>
      <c r="E2" s="26"/>
      <c r="F2" s="26"/>
      <c r="G2" s="26"/>
      <c r="H2" s="26"/>
      <c r="I2" s="26"/>
      <c r="J2" s="26"/>
      <c r="K2" s="26"/>
      <c r="L2" s="26"/>
      <c r="M2" s="26"/>
      <c r="N2" s="26"/>
      <c r="O2" s="26"/>
      <c r="P2" s="26"/>
      <c r="Q2" s="26"/>
      <c r="R2" s="26"/>
      <c r="S2" s="26"/>
      <c r="T2" s="26"/>
      <c r="U2" s="26"/>
      <c r="V2" s="26"/>
      <c r="W2" s="26"/>
    </row>
    <row r="5" spans="2:25" ht="30" customHeight="1" x14ac:dyDescent="0.35">
      <c r="B5" s="15"/>
      <c r="C5" s="15"/>
      <c r="D5" s="29" t="s">
        <v>38</v>
      </c>
      <c r="E5" s="29"/>
      <c r="F5" s="15"/>
      <c r="G5" s="29" t="s">
        <v>39</v>
      </c>
      <c r="H5" s="29"/>
      <c r="I5" s="29"/>
      <c r="J5" s="29"/>
      <c r="K5" s="29"/>
      <c r="L5" s="29"/>
      <c r="M5" s="15"/>
      <c r="N5" s="29" t="s">
        <v>40</v>
      </c>
      <c r="O5" s="29"/>
      <c r="P5" s="29"/>
      <c r="Q5" s="29"/>
      <c r="R5" s="29"/>
      <c r="S5" s="29"/>
      <c r="T5" s="29"/>
      <c r="U5" s="29"/>
      <c r="V5" s="29"/>
      <c r="W5" s="15"/>
      <c r="X5" s="29" t="s">
        <v>41</v>
      </c>
      <c r="Y5" s="29"/>
    </row>
    <row r="6" spans="2:25" ht="29"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row>
    <row r="7" spans="2:25" ht="30" customHeight="1" x14ac:dyDescent="0.35">
      <c r="B7" s="10" t="s">
        <v>19</v>
      </c>
      <c r="C7" s="10">
        <v>6838</v>
      </c>
      <c r="D7" s="10">
        <v>3283</v>
      </c>
      <c r="E7" s="10">
        <v>3541</v>
      </c>
      <c r="F7" s="10"/>
      <c r="G7" s="10">
        <v>635</v>
      </c>
      <c r="H7" s="10">
        <v>1075</v>
      </c>
      <c r="I7" s="10">
        <v>1093</v>
      </c>
      <c r="J7" s="10">
        <v>1228</v>
      </c>
      <c r="K7" s="10">
        <v>1156</v>
      </c>
      <c r="L7" s="10">
        <v>1651</v>
      </c>
      <c r="M7" s="10"/>
      <c r="N7" s="10">
        <v>208</v>
      </c>
      <c r="O7" s="10">
        <v>200</v>
      </c>
      <c r="P7" s="10">
        <v>1002</v>
      </c>
      <c r="Q7" s="10">
        <v>1000</v>
      </c>
      <c r="R7" s="10">
        <v>1004</v>
      </c>
      <c r="S7" s="10">
        <v>1006</v>
      </c>
      <c r="T7" s="10">
        <v>1006</v>
      </c>
      <c r="U7" s="10">
        <v>1007</v>
      </c>
      <c r="V7" s="10">
        <v>405</v>
      </c>
      <c r="W7" s="10"/>
      <c r="X7" s="10">
        <v>2650</v>
      </c>
      <c r="Y7" s="10">
        <v>4188</v>
      </c>
    </row>
    <row r="8" spans="2:25" ht="30" customHeight="1" x14ac:dyDescent="0.35">
      <c r="B8" s="11" t="s">
        <v>20</v>
      </c>
      <c r="C8" s="11">
        <v>6838</v>
      </c>
      <c r="D8" s="11">
        <v>3309</v>
      </c>
      <c r="E8" s="11">
        <v>3515</v>
      </c>
      <c r="F8" s="11"/>
      <c r="G8" s="11">
        <v>645</v>
      </c>
      <c r="H8" s="11">
        <v>1026</v>
      </c>
      <c r="I8" s="11">
        <v>1111</v>
      </c>
      <c r="J8" s="11">
        <v>1184</v>
      </c>
      <c r="K8" s="11">
        <v>1140</v>
      </c>
      <c r="L8" s="11">
        <v>1732</v>
      </c>
      <c r="M8" s="11"/>
      <c r="N8" s="11">
        <v>208</v>
      </c>
      <c r="O8" s="11">
        <v>200</v>
      </c>
      <c r="P8" s="11">
        <v>1002</v>
      </c>
      <c r="Q8" s="11">
        <v>1000</v>
      </c>
      <c r="R8" s="11">
        <v>1004</v>
      </c>
      <c r="S8" s="11">
        <v>1006</v>
      </c>
      <c r="T8" s="11">
        <v>1006</v>
      </c>
      <c r="U8" s="11">
        <v>1007</v>
      </c>
      <c r="V8" s="11">
        <v>405</v>
      </c>
      <c r="W8" s="11"/>
      <c r="X8" s="11">
        <v>2436</v>
      </c>
      <c r="Y8" s="11">
        <v>4402</v>
      </c>
    </row>
    <row r="9" spans="2:25" x14ac:dyDescent="0.35">
      <c r="B9" s="18" t="s">
        <v>248</v>
      </c>
      <c r="C9" s="17">
        <v>0.62337091939946998</v>
      </c>
      <c r="D9" s="17">
        <v>0.64153808162916504</v>
      </c>
      <c r="E9" s="17">
        <v>0.60595427545348501</v>
      </c>
      <c r="F9" s="17"/>
      <c r="G9" s="17">
        <v>0.63272404675312999</v>
      </c>
      <c r="H9" s="17">
        <v>0.60888520524885403</v>
      </c>
      <c r="I9" s="17">
        <v>0.59395900066035701</v>
      </c>
      <c r="J9" s="17">
        <v>0.636716074725166</v>
      </c>
      <c r="K9" s="17">
        <v>0.65463320695570903</v>
      </c>
      <c r="L9" s="17">
        <v>0.61763502092205602</v>
      </c>
      <c r="M9" s="17"/>
      <c r="N9" s="17">
        <v>0.69370069433203696</v>
      </c>
      <c r="O9" s="17">
        <v>0.75551141149669998</v>
      </c>
      <c r="P9" s="17">
        <v>0.51930871882913299</v>
      </c>
      <c r="Q9" s="17">
        <v>0.75394848096160505</v>
      </c>
      <c r="R9" s="17">
        <v>0.49331228823942802</v>
      </c>
      <c r="S9" s="17">
        <v>0.64653523871905405</v>
      </c>
      <c r="T9" s="17">
        <v>0.75339380438535797</v>
      </c>
      <c r="U9" s="17">
        <v>0.510350669383415</v>
      </c>
      <c r="V9" s="17">
        <v>0.67996351624752904</v>
      </c>
      <c r="W9" s="17"/>
      <c r="X9" s="17">
        <v>0.64603542329318997</v>
      </c>
      <c r="Y9" s="17">
        <v>0.61082914161854096</v>
      </c>
    </row>
    <row r="10" spans="2:25" ht="29" x14ac:dyDescent="0.35">
      <c r="B10" s="18" t="s">
        <v>249</v>
      </c>
      <c r="C10" s="17">
        <v>0.59441103212734703</v>
      </c>
      <c r="D10" s="17">
        <v>0.62636531571157505</v>
      </c>
      <c r="E10" s="17">
        <v>0.56335372226969804</v>
      </c>
      <c r="F10" s="17"/>
      <c r="G10" s="17">
        <v>0.71332579550974895</v>
      </c>
      <c r="H10" s="17">
        <v>0.682357703278614</v>
      </c>
      <c r="I10" s="17">
        <v>0.60897267599003102</v>
      </c>
      <c r="J10" s="17">
        <v>0.60083423932690405</v>
      </c>
      <c r="K10" s="17">
        <v>0.558189839575855</v>
      </c>
      <c r="L10" s="17">
        <v>0.50820577542568002</v>
      </c>
      <c r="M10" s="17"/>
      <c r="N10" s="17">
        <v>0.502248066506923</v>
      </c>
      <c r="O10" s="17">
        <v>0.67876967686009304</v>
      </c>
      <c r="P10" s="17">
        <v>0.57281701516980899</v>
      </c>
      <c r="Q10" s="17">
        <v>0.57289264383008898</v>
      </c>
      <c r="R10" s="17">
        <v>0.53590565254318201</v>
      </c>
      <c r="S10" s="17">
        <v>0.58355658343794603</v>
      </c>
      <c r="T10" s="17">
        <v>0.72928474857333103</v>
      </c>
      <c r="U10" s="17">
        <v>0.57845963312158699</v>
      </c>
      <c r="V10" s="17">
        <v>0.58328223639745103</v>
      </c>
      <c r="W10" s="17"/>
      <c r="X10" s="17">
        <v>0.63609378462978905</v>
      </c>
      <c r="Y10" s="17">
        <v>0.57134519218509605</v>
      </c>
    </row>
    <row r="11" spans="2:25" ht="29" x14ac:dyDescent="0.35">
      <c r="B11" s="18" t="s">
        <v>250</v>
      </c>
      <c r="C11" s="17">
        <v>0.40493528467993101</v>
      </c>
      <c r="D11" s="17">
        <v>0.34314038131350499</v>
      </c>
      <c r="E11" s="17">
        <v>0.46308520253493402</v>
      </c>
      <c r="F11" s="17"/>
      <c r="G11" s="17">
        <v>0.38987291216725201</v>
      </c>
      <c r="H11" s="17">
        <v>0.34277911185464999</v>
      </c>
      <c r="I11" s="17">
        <v>0.331146502214196</v>
      </c>
      <c r="J11" s="17">
        <v>0.36338353398468898</v>
      </c>
      <c r="K11" s="17">
        <v>0.436324961362268</v>
      </c>
      <c r="L11" s="17">
        <v>0.50240128455867294</v>
      </c>
      <c r="M11" s="17"/>
      <c r="N11" s="17">
        <v>0.33824803450851598</v>
      </c>
      <c r="O11" s="17">
        <v>0.42084174882488901</v>
      </c>
      <c r="P11" s="17">
        <v>0.344729639466061</v>
      </c>
      <c r="Q11" s="17">
        <v>0.45986103024993102</v>
      </c>
      <c r="R11" s="17">
        <v>0.42096984789582298</v>
      </c>
      <c r="S11" s="17">
        <v>0.36727759060301501</v>
      </c>
      <c r="T11" s="17">
        <v>0.45036438151013197</v>
      </c>
      <c r="U11" s="17">
        <v>0.38105037157161198</v>
      </c>
      <c r="V11" s="17">
        <v>0.44499785505640999</v>
      </c>
      <c r="W11" s="17"/>
      <c r="X11" s="17">
        <v>0.35415838660983501</v>
      </c>
      <c r="Y11" s="17">
        <v>0.43303352036098902</v>
      </c>
    </row>
    <row r="12" spans="2:25" x14ac:dyDescent="0.35">
      <c r="B12" s="18" t="s">
        <v>251</v>
      </c>
      <c r="C12" s="17">
        <v>0.16864878909339601</v>
      </c>
      <c r="D12" s="17">
        <v>0.17110384999217701</v>
      </c>
      <c r="E12" s="17">
        <v>0.16614106409691901</v>
      </c>
      <c r="F12" s="17"/>
      <c r="G12" s="17">
        <v>0.32242662446342502</v>
      </c>
      <c r="H12" s="17">
        <v>0.30841092585148</v>
      </c>
      <c r="I12" s="17">
        <v>0.25179035677669898</v>
      </c>
      <c r="J12" s="17">
        <v>0.14102818126778999</v>
      </c>
      <c r="K12" s="17">
        <v>8.1731583726738596E-2</v>
      </c>
      <c r="L12" s="17">
        <v>5.1437504246216598E-2</v>
      </c>
      <c r="M12" s="17"/>
      <c r="N12" s="17">
        <v>0.244407349601414</v>
      </c>
      <c r="O12" s="17">
        <v>0.24531999557308401</v>
      </c>
      <c r="P12" s="17">
        <v>0.14493165334153399</v>
      </c>
      <c r="Q12" s="17">
        <v>0.136347190151755</v>
      </c>
      <c r="R12" s="17">
        <v>0.202315227051034</v>
      </c>
      <c r="S12" s="17">
        <v>0.129270016119367</v>
      </c>
      <c r="T12" s="17">
        <v>0.17542042576790901</v>
      </c>
      <c r="U12" s="17">
        <v>0.16934086086787301</v>
      </c>
      <c r="V12" s="17">
        <v>0.22612756986956001</v>
      </c>
      <c r="W12" s="17"/>
      <c r="X12" s="17">
        <v>0.20491576277797999</v>
      </c>
      <c r="Y12" s="17">
        <v>0.14857985986062899</v>
      </c>
    </row>
    <row r="13" spans="2:25" x14ac:dyDescent="0.35">
      <c r="B13" s="18" t="s">
        <v>252</v>
      </c>
      <c r="C13" s="17">
        <v>0.125961168782599</v>
      </c>
      <c r="D13" s="17">
        <v>0.15152888033340001</v>
      </c>
      <c r="E13" s="17">
        <v>0.10239573231173001</v>
      </c>
      <c r="F13" s="17"/>
      <c r="G13" s="17">
        <v>0.15488736944661899</v>
      </c>
      <c r="H13" s="17">
        <v>0.190963516538424</v>
      </c>
      <c r="I13" s="17">
        <v>0.14712851306232799</v>
      </c>
      <c r="J13" s="17">
        <v>0.11396387867815</v>
      </c>
      <c r="K13" s="17">
        <v>9.9689981070508804E-2</v>
      </c>
      <c r="L13" s="17">
        <v>8.8628654289544098E-2</v>
      </c>
      <c r="M13" s="17"/>
      <c r="N13" s="17">
        <v>0.14101229037944399</v>
      </c>
      <c r="O13" s="17">
        <v>0.10137251002356699</v>
      </c>
      <c r="P13" s="17">
        <v>9.1655815709221197E-2</v>
      </c>
      <c r="Q13" s="17">
        <v>8.2391761301198504E-2</v>
      </c>
      <c r="R13" s="17">
        <v>0.119095629294291</v>
      </c>
      <c r="S13" s="17">
        <v>0.115078884415907</v>
      </c>
      <c r="T13" s="17">
        <v>0.154978569609277</v>
      </c>
      <c r="U13" s="17">
        <v>0.18847636346461299</v>
      </c>
      <c r="V13" s="17">
        <v>0.13936053461794301</v>
      </c>
      <c r="W13" s="17"/>
      <c r="X13" s="17">
        <v>0.17852589278448899</v>
      </c>
      <c r="Y13" s="17">
        <v>9.6873610076748704E-2</v>
      </c>
    </row>
    <row r="14" spans="2:25" ht="29" x14ac:dyDescent="0.35">
      <c r="B14" s="18" t="s">
        <v>253</v>
      </c>
      <c r="C14" s="17">
        <v>9.5708533441942106E-2</v>
      </c>
      <c r="D14" s="17">
        <v>0.114067520167443</v>
      </c>
      <c r="E14" s="17">
        <v>7.8808341584778299E-2</v>
      </c>
      <c r="F14" s="17"/>
      <c r="G14" s="17">
        <v>6.5244936410043794E-2</v>
      </c>
      <c r="H14" s="17">
        <v>8.6173071071199106E-2</v>
      </c>
      <c r="I14" s="17">
        <v>9.1559958734770394E-2</v>
      </c>
      <c r="J14" s="17">
        <v>9.0934488222968499E-2</v>
      </c>
      <c r="K14" s="17">
        <v>0.119467529030218</v>
      </c>
      <c r="L14" s="17">
        <v>0.10297513341181901</v>
      </c>
      <c r="M14" s="17"/>
      <c r="N14" s="17">
        <v>0.13760924568340099</v>
      </c>
      <c r="O14" s="17">
        <v>0.139507605899306</v>
      </c>
      <c r="P14" s="17">
        <v>6.8985823788574999E-2</v>
      </c>
      <c r="Q14" s="17">
        <v>0.102049334260104</v>
      </c>
      <c r="R14" s="17">
        <v>8.2876891142674894E-2</v>
      </c>
      <c r="S14" s="17">
        <v>0.11134265856556801</v>
      </c>
      <c r="T14" s="17">
        <v>6.2428404863367398E-2</v>
      </c>
      <c r="U14" s="17">
        <v>0.10951157097349599</v>
      </c>
      <c r="V14" s="17">
        <v>0.144339104223878</v>
      </c>
      <c r="W14" s="17"/>
      <c r="X14" s="17">
        <v>0.14084836970693301</v>
      </c>
      <c r="Y14" s="17">
        <v>7.0729659068262105E-2</v>
      </c>
    </row>
    <row r="15" spans="2:25" x14ac:dyDescent="0.35">
      <c r="B15" s="18" t="s">
        <v>254</v>
      </c>
      <c r="C15" s="17">
        <v>9.3930977875813795E-2</v>
      </c>
      <c r="D15" s="17">
        <v>0.122749944318347</v>
      </c>
      <c r="E15" s="17">
        <v>6.7176642166333095E-2</v>
      </c>
      <c r="F15" s="17"/>
      <c r="G15" s="17">
        <v>0.16138076364018999</v>
      </c>
      <c r="H15" s="17">
        <v>0.151143840922776</v>
      </c>
      <c r="I15" s="17">
        <v>0.138568700673839</v>
      </c>
      <c r="J15" s="17">
        <v>7.3207340047983196E-2</v>
      </c>
      <c r="K15" s="17">
        <v>5.3207608116595299E-2</v>
      </c>
      <c r="L15" s="17">
        <v>4.72940050588255E-2</v>
      </c>
      <c r="M15" s="17"/>
      <c r="N15" s="17">
        <v>0.100061910553757</v>
      </c>
      <c r="O15" s="17">
        <v>0.1069589075767</v>
      </c>
      <c r="P15" s="17">
        <v>9.0622899695153594E-2</v>
      </c>
      <c r="Q15" s="17">
        <v>8.3760533978475799E-2</v>
      </c>
      <c r="R15" s="17">
        <v>8.4048059717894599E-2</v>
      </c>
      <c r="S15" s="17">
        <v>6.0093784081053397E-2</v>
      </c>
      <c r="T15" s="17">
        <v>9.7302049422511194E-2</v>
      </c>
      <c r="U15" s="17">
        <v>0.12535869150374801</v>
      </c>
      <c r="V15" s="17">
        <v>0.139679075371968</v>
      </c>
      <c r="W15" s="17"/>
      <c r="X15" s="17">
        <v>0.217072509794699</v>
      </c>
      <c r="Y15" s="17">
        <v>2.5788576163781399E-2</v>
      </c>
    </row>
    <row r="16" spans="2:25" ht="29" x14ac:dyDescent="0.35">
      <c r="B16" s="18" t="s">
        <v>255</v>
      </c>
      <c r="C16" s="17">
        <v>5.4054074559250001E-2</v>
      </c>
      <c r="D16" s="17">
        <v>6.4650243448366299E-2</v>
      </c>
      <c r="E16" s="17">
        <v>4.3986004309874802E-2</v>
      </c>
      <c r="F16" s="17"/>
      <c r="G16" s="17">
        <v>7.3886219801354402E-2</v>
      </c>
      <c r="H16" s="17">
        <v>8.1745208874260206E-2</v>
      </c>
      <c r="I16" s="17">
        <v>7.44016761007711E-2</v>
      </c>
      <c r="J16" s="17">
        <v>4.8642682274299603E-2</v>
      </c>
      <c r="K16" s="17">
        <v>3.6398720777304397E-2</v>
      </c>
      <c r="L16" s="17">
        <v>3.2547812369952897E-2</v>
      </c>
      <c r="M16" s="17"/>
      <c r="N16" s="17">
        <v>7.4180621293726504E-2</v>
      </c>
      <c r="O16" s="17">
        <v>3.4800391910722699E-2</v>
      </c>
      <c r="P16" s="17">
        <v>2.5577525157308802E-2</v>
      </c>
      <c r="Q16" s="17">
        <v>5.7842524069367601E-2</v>
      </c>
      <c r="R16" s="17">
        <v>6.2022749982190102E-2</v>
      </c>
      <c r="S16" s="17">
        <v>4.0434155706469799E-2</v>
      </c>
      <c r="T16" s="17">
        <v>6.08646848969168E-2</v>
      </c>
      <c r="U16" s="17">
        <v>7.9675313288715299E-2</v>
      </c>
      <c r="V16" s="17">
        <v>4.7778752684096197E-2</v>
      </c>
      <c r="W16" s="17"/>
      <c r="X16" s="17">
        <v>7.1906569991165403E-2</v>
      </c>
      <c r="Y16" s="17">
        <v>4.4175101183434498E-2</v>
      </c>
    </row>
    <row r="17" spans="2:25" x14ac:dyDescent="0.35">
      <c r="B17" s="18" t="s">
        <v>68</v>
      </c>
      <c r="C17" s="17">
        <v>5.4380607484300902E-2</v>
      </c>
      <c r="D17" s="17">
        <v>4.6700351706856401E-2</v>
      </c>
      <c r="E17" s="17">
        <v>6.18284039868712E-2</v>
      </c>
      <c r="F17" s="17"/>
      <c r="G17" s="17">
        <v>1.8518415525618299E-2</v>
      </c>
      <c r="H17" s="17">
        <v>1.8477516339775499E-2</v>
      </c>
      <c r="I17" s="17">
        <v>3.5773642920098297E-2</v>
      </c>
      <c r="J17" s="17">
        <v>5.0105218809813799E-2</v>
      </c>
      <c r="K17" s="17">
        <v>6.9353756454511403E-2</v>
      </c>
      <c r="L17" s="17">
        <v>9.3982149292533498E-2</v>
      </c>
      <c r="M17" s="17"/>
      <c r="N17" s="17">
        <v>7.1551302246333395E-2</v>
      </c>
      <c r="O17" s="17">
        <v>9.0167796845896195E-2</v>
      </c>
      <c r="P17" s="17">
        <v>6.2014389276413499E-2</v>
      </c>
      <c r="Q17" s="17">
        <v>4.7286685596009799E-2</v>
      </c>
      <c r="R17" s="17">
        <v>7.1840111974379506E-2</v>
      </c>
      <c r="S17" s="17">
        <v>6.2997012771736402E-2</v>
      </c>
      <c r="T17" s="17">
        <v>2.91727679778803E-2</v>
      </c>
      <c r="U17" s="17">
        <v>4.5498227614066897E-2</v>
      </c>
      <c r="V17" s="17">
        <v>4.6534007472839901E-2</v>
      </c>
      <c r="W17" s="17"/>
      <c r="X17" s="17">
        <v>5.5655866930272802E-2</v>
      </c>
      <c r="Y17" s="17">
        <v>5.3674921595061501E-2</v>
      </c>
    </row>
    <row r="18" spans="2:25" x14ac:dyDescent="0.35">
      <c r="B18" s="18" t="s">
        <v>69</v>
      </c>
      <c r="C18" s="19">
        <v>3.4260916393038798E-2</v>
      </c>
      <c r="D18" s="19">
        <v>3.17300244699859E-2</v>
      </c>
      <c r="E18" s="19">
        <v>3.6780591553812102E-2</v>
      </c>
      <c r="F18" s="19"/>
      <c r="G18" s="19">
        <v>3.0051236260854701E-2</v>
      </c>
      <c r="H18" s="19">
        <v>3.5587314442981598E-2</v>
      </c>
      <c r="I18" s="19">
        <v>3.9911263283597197E-2</v>
      </c>
      <c r="J18" s="19">
        <v>3.93448859020014E-2</v>
      </c>
      <c r="K18" s="19">
        <v>2.9147699765273899E-2</v>
      </c>
      <c r="L18" s="19">
        <v>3.13093902276829E-2</v>
      </c>
      <c r="M18" s="19"/>
      <c r="N18" s="19">
        <v>1.6970843280640899E-2</v>
      </c>
      <c r="O18" s="19">
        <v>3.5613130525790501E-2</v>
      </c>
      <c r="P18" s="19">
        <v>4.2209443929738702E-2</v>
      </c>
      <c r="Q18" s="19">
        <v>4.25330649736059E-2</v>
      </c>
      <c r="R18" s="19">
        <v>3.04708436342256E-2</v>
      </c>
      <c r="S18" s="19">
        <v>4.6260244617850797E-2</v>
      </c>
      <c r="T18" s="19">
        <v>1.76018492099769E-2</v>
      </c>
      <c r="U18" s="19">
        <v>2.1438804942967501E-2</v>
      </c>
      <c r="V18" s="19">
        <v>5.5234042024045797E-2</v>
      </c>
      <c r="W18" s="19"/>
      <c r="X18" s="19">
        <v>2.4208640524649501E-2</v>
      </c>
      <c r="Y18" s="19">
        <v>3.98235093677239E-2</v>
      </c>
    </row>
    <row r="19" spans="2:25" x14ac:dyDescent="0.35">
      <c r="B19" s="16"/>
    </row>
    <row r="20" spans="2:25" x14ac:dyDescent="0.35">
      <c r="B20" t="s">
        <v>51</v>
      </c>
    </row>
    <row r="21" spans="2:25" x14ac:dyDescent="0.35">
      <c r="B21" t="s">
        <v>52</v>
      </c>
    </row>
    <row r="23" spans="2:25" x14ac:dyDescent="0.35">
      <c r="B23" s="8" t="str">
        <f>HYPERLINK("#'Contents'!A1", "Return to Contents")</f>
        <v>Return to Contents</v>
      </c>
    </row>
  </sheetData>
  <mergeCells count="5">
    <mergeCell ref="D5:E5"/>
    <mergeCell ref="G5:L5"/>
    <mergeCell ref="N5:V5"/>
    <mergeCell ref="X5:Y5"/>
    <mergeCell ref="D2:W2"/>
  </mergeCells>
  <pageMargins left="0.7" right="0.7" top="0.75" bottom="0.75" header="0.3" footer="0.3"/>
  <pageSetup paperSize="9" orientation="portrait" horizontalDpi="300" verticalDpi="300"/>
  <drawing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B2:Y25"/>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s>
  <sheetData>
    <row r="2" spans="2:25" ht="40" customHeight="1" x14ac:dyDescent="0.35">
      <c r="D2" s="30" t="s">
        <v>267</v>
      </c>
      <c r="E2" s="26"/>
      <c r="F2" s="26"/>
      <c r="G2" s="26"/>
      <c r="H2" s="26"/>
      <c r="I2" s="26"/>
      <c r="J2" s="26"/>
      <c r="K2" s="26"/>
      <c r="L2" s="26"/>
      <c r="M2" s="26"/>
      <c r="N2" s="26"/>
      <c r="O2" s="26"/>
      <c r="P2" s="26"/>
      <c r="Q2" s="26"/>
      <c r="R2" s="26"/>
      <c r="S2" s="26"/>
      <c r="T2" s="26"/>
      <c r="U2" s="26"/>
      <c r="V2" s="26"/>
      <c r="W2" s="26"/>
    </row>
    <row r="5" spans="2:25" ht="30" customHeight="1" x14ac:dyDescent="0.35">
      <c r="B5" s="15"/>
      <c r="C5" s="15"/>
      <c r="D5" s="29" t="s">
        <v>38</v>
      </c>
      <c r="E5" s="29"/>
      <c r="F5" s="15"/>
      <c r="G5" s="29" t="s">
        <v>39</v>
      </c>
      <c r="H5" s="29"/>
      <c r="I5" s="29"/>
      <c r="J5" s="29"/>
      <c r="K5" s="29"/>
      <c r="L5" s="29"/>
      <c r="M5" s="15"/>
      <c r="N5" s="29" t="s">
        <v>40</v>
      </c>
      <c r="O5" s="29"/>
      <c r="P5" s="29"/>
      <c r="Q5" s="29"/>
      <c r="R5" s="29"/>
      <c r="S5" s="29"/>
      <c r="T5" s="29"/>
      <c r="U5" s="29"/>
      <c r="V5" s="29"/>
      <c r="W5" s="15"/>
      <c r="X5" s="29" t="s">
        <v>41</v>
      </c>
      <c r="Y5" s="29"/>
    </row>
    <row r="6" spans="2:25" ht="29"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row>
    <row r="7" spans="2:25" ht="30" customHeight="1" x14ac:dyDescent="0.35">
      <c r="B7" s="10" t="s">
        <v>19</v>
      </c>
      <c r="C7" s="10">
        <v>6838</v>
      </c>
      <c r="D7" s="10">
        <v>3283</v>
      </c>
      <c r="E7" s="10">
        <v>3541</v>
      </c>
      <c r="F7" s="10"/>
      <c r="G7" s="10">
        <v>635</v>
      </c>
      <c r="H7" s="10">
        <v>1075</v>
      </c>
      <c r="I7" s="10">
        <v>1093</v>
      </c>
      <c r="J7" s="10">
        <v>1228</v>
      </c>
      <c r="K7" s="10">
        <v>1156</v>
      </c>
      <c r="L7" s="10">
        <v>1651</v>
      </c>
      <c r="M7" s="10"/>
      <c r="N7" s="10">
        <v>208</v>
      </c>
      <c r="O7" s="10">
        <v>200</v>
      </c>
      <c r="P7" s="10">
        <v>1002</v>
      </c>
      <c r="Q7" s="10">
        <v>1000</v>
      </c>
      <c r="R7" s="10">
        <v>1004</v>
      </c>
      <c r="S7" s="10">
        <v>1006</v>
      </c>
      <c r="T7" s="10">
        <v>1006</v>
      </c>
      <c r="U7" s="10">
        <v>1007</v>
      </c>
      <c r="V7" s="10">
        <v>405</v>
      </c>
      <c r="W7" s="10"/>
      <c r="X7" s="10">
        <v>2650</v>
      </c>
      <c r="Y7" s="10">
        <v>4188</v>
      </c>
    </row>
    <row r="8" spans="2:25" ht="30" customHeight="1" x14ac:dyDescent="0.35">
      <c r="B8" s="11" t="s">
        <v>20</v>
      </c>
      <c r="C8" s="11">
        <v>6838</v>
      </c>
      <c r="D8" s="11">
        <v>3309</v>
      </c>
      <c r="E8" s="11">
        <v>3515</v>
      </c>
      <c r="F8" s="11"/>
      <c r="G8" s="11">
        <v>645</v>
      </c>
      <c r="H8" s="11">
        <v>1026</v>
      </c>
      <c r="I8" s="11">
        <v>1111</v>
      </c>
      <c r="J8" s="11">
        <v>1184</v>
      </c>
      <c r="K8" s="11">
        <v>1140</v>
      </c>
      <c r="L8" s="11">
        <v>1732</v>
      </c>
      <c r="M8" s="11"/>
      <c r="N8" s="11">
        <v>208</v>
      </c>
      <c r="O8" s="11">
        <v>200</v>
      </c>
      <c r="P8" s="11">
        <v>1002</v>
      </c>
      <c r="Q8" s="11">
        <v>1000</v>
      </c>
      <c r="R8" s="11">
        <v>1004</v>
      </c>
      <c r="S8" s="11">
        <v>1006</v>
      </c>
      <c r="T8" s="11">
        <v>1006</v>
      </c>
      <c r="U8" s="11">
        <v>1007</v>
      </c>
      <c r="V8" s="11">
        <v>405</v>
      </c>
      <c r="W8" s="11"/>
      <c r="X8" s="11">
        <v>2436</v>
      </c>
      <c r="Y8" s="11">
        <v>4402</v>
      </c>
    </row>
    <row r="9" spans="2:25" x14ac:dyDescent="0.35">
      <c r="B9" s="18" t="s">
        <v>257</v>
      </c>
      <c r="C9" s="17">
        <v>0.66516170483553805</v>
      </c>
      <c r="D9" s="17">
        <v>0.652753567751582</v>
      </c>
      <c r="E9" s="17">
        <v>0.67668782824562401</v>
      </c>
      <c r="F9" s="17"/>
      <c r="G9" s="17">
        <v>0.65457344312993704</v>
      </c>
      <c r="H9" s="17">
        <v>0.60735587916640998</v>
      </c>
      <c r="I9" s="17">
        <v>0.62594419998550699</v>
      </c>
      <c r="J9" s="17">
        <v>0.65944208040445496</v>
      </c>
      <c r="K9" s="17">
        <v>0.70181676826915995</v>
      </c>
      <c r="L9" s="17">
        <v>0.70825987299152005</v>
      </c>
      <c r="M9" s="17"/>
      <c r="N9" s="17">
        <v>0.60743803565332699</v>
      </c>
      <c r="O9" s="17">
        <v>0.82599496079967605</v>
      </c>
      <c r="P9" s="17">
        <v>0.68893401404485299</v>
      </c>
      <c r="Q9" s="17">
        <v>0.61357218107281897</v>
      </c>
      <c r="R9" s="17">
        <v>0.69886860654040095</v>
      </c>
      <c r="S9" s="17">
        <v>0.61382018122771698</v>
      </c>
      <c r="T9" s="17">
        <v>0.65230436817784399</v>
      </c>
      <c r="U9" s="17">
        <v>0.68752526045835205</v>
      </c>
      <c r="V9" s="17">
        <v>0.70425248393506801</v>
      </c>
      <c r="W9" s="17"/>
      <c r="X9" s="17">
        <v>0.69675729651288598</v>
      </c>
      <c r="Y9" s="17">
        <v>0.64767776203527005</v>
      </c>
    </row>
    <row r="10" spans="2:25" x14ac:dyDescent="0.35">
      <c r="B10" s="18" t="s">
        <v>258</v>
      </c>
      <c r="C10" s="17">
        <v>0.66296321172178896</v>
      </c>
      <c r="D10" s="17">
        <v>0.66985511947291698</v>
      </c>
      <c r="E10" s="17">
        <v>0.65629399512444397</v>
      </c>
      <c r="F10" s="17"/>
      <c r="G10" s="17">
        <v>0.69475816417113201</v>
      </c>
      <c r="H10" s="17">
        <v>0.66357464194048899</v>
      </c>
      <c r="I10" s="17">
        <v>0.64355631277818004</v>
      </c>
      <c r="J10" s="17">
        <v>0.65653921240429003</v>
      </c>
      <c r="K10" s="17">
        <v>0.66118326124233195</v>
      </c>
      <c r="L10" s="17">
        <v>0.66877890546963203</v>
      </c>
      <c r="M10" s="17"/>
      <c r="N10" s="17">
        <v>0.72334358540287302</v>
      </c>
      <c r="O10" s="17">
        <v>0.871027877917955</v>
      </c>
      <c r="P10" s="17">
        <v>0.62359736077229899</v>
      </c>
      <c r="Q10" s="17">
        <v>0.67040548873917905</v>
      </c>
      <c r="R10" s="17">
        <v>0.68736720101786697</v>
      </c>
      <c r="S10" s="17">
        <v>0.66994854967727802</v>
      </c>
      <c r="T10" s="17">
        <v>0.63462526883638104</v>
      </c>
      <c r="U10" s="17">
        <v>0.65215652284423598</v>
      </c>
      <c r="V10" s="17">
        <v>0.62763408993174497</v>
      </c>
      <c r="W10" s="17"/>
      <c r="X10" s="17">
        <v>0.72152633067234795</v>
      </c>
      <c r="Y10" s="17">
        <v>0.630556342042214</v>
      </c>
    </row>
    <row r="11" spans="2:25" x14ac:dyDescent="0.35">
      <c r="B11" s="18" t="s">
        <v>259</v>
      </c>
      <c r="C11" s="17">
        <v>0.63260768246062105</v>
      </c>
      <c r="D11" s="17">
        <v>0.61330916854022399</v>
      </c>
      <c r="E11" s="17">
        <v>0.65051239038792197</v>
      </c>
      <c r="F11" s="17"/>
      <c r="G11" s="17">
        <v>0.62465360555018701</v>
      </c>
      <c r="H11" s="17">
        <v>0.63715587500677395</v>
      </c>
      <c r="I11" s="17">
        <v>0.63191262200289899</v>
      </c>
      <c r="J11" s="17">
        <v>0.61310100709363802</v>
      </c>
      <c r="K11" s="17">
        <v>0.64602584595668</v>
      </c>
      <c r="L11" s="17">
        <v>0.63781892362806702</v>
      </c>
      <c r="M11" s="17"/>
      <c r="N11" s="17">
        <v>0.62119082827549399</v>
      </c>
      <c r="O11" s="17">
        <v>0.81419592763128001</v>
      </c>
      <c r="P11" s="17">
        <v>0.72752508755594403</v>
      </c>
      <c r="Q11" s="17">
        <v>0.65662123495616698</v>
      </c>
      <c r="R11" s="17">
        <v>0.52499831584380496</v>
      </c>
      <c r="S11" s="17">
        <v>0.58925853128484895</v>
      </c>
      <c r="T11" s="17">
        <v>0.48910913277999502</v>
      </c>
      <c r="U11" s="17">
        <v>0.72709837506561803</v>
      </c>
      <c r="V11" s="17">
        <v>0.75061441808260598</v>
      </c>
      <c r="W11" s="17"/>
      <c r="X11" s="17">
        <v>0.69352931117521799</v>
      </c>
      <c r="Y11" s="17">
        <v>0.598895692426618</v>
      </c>
    </row>
    <row r="12" spans="2:25" x14ac:dyDescent="0.35">
      <c r="B12" s="18" t="s">
        <v>260</v>
      </c>
      <c r="C12" s="17">
        <v>0.62223068054614605</v>
      </c>
      <c r="D12" s="17">
        <v>0.60563029862955597</v>
      </c>
      <c r="E12" s="17">
        <v>0.638084981637841</v>
      </c>
      <c r="F12" s="17"/>
      <c r="G12" s="17">
        <v>0.66680599073201796</v>
      </c>
      <c r="H12" s="17">
        <v>0.58810243916459104</v>
      </c>
      <c r="I12" s="17">
        <v>0.597660272084933</v>
      </c>
      <c r="J12" s="17">
        <v>0.63096801891419896</v>
      </c>
      <c r="K12" s="17">
        <v>0.636871548425054</v>
      </c>
      <c r="L12" s="17">
        <v>0.62599873159012998</v>
      </c>
      <c r="M12" s="17"/>
      <c r="N12" s="17">
        <v>0.55448436137171098</v>
      </c>
      <c r="O12" s="17">
        <v>0.69382965894799897</v>
      </c>
      <c r="P12" s="17">
        <v>0.64886886203694305</v>
      </c>
      <c r="Q12" s="17">
        <v>0.57744076950804901</v>
      </c>
      <c r="R12" s="17">
        <v>0.69136232632101402</v>
      </c>
      <c r="S12" s="17">
        <v>0.57756450859587705</v>
      </c>
      <c r="T12" s="17">
        <v>0.62782391181673503</v>
      </c>
      <c r="U12" s="17">
        <v>0.61636821407821196</v>
      </c>
      <c r="V12" s="17">
        <v>0.606607474598575</v>
      </c>
      <c r="W12" s="17"/>
      <c r="X12" s="17">
        <v>0.67405109318513301</v>
      </c>
      <c r="Y12" s="17">
        <v>0.59355499883337504</v>
      </c>
    </row>
    <row r="13" spans="2:25" x14ac:dyDescent="0.35">
      <c r="B13" s="18" t="s">
        <v>261</v>
      </c>
      <c r="C13" s="17">
        <v>0.51303051076892203</v>
      </c>
      <c r="D13" s="17">
        <v>0.50018958721740503</v>
      </c>
      <c r="E13" s="17">
        <v>0.52549108307375603</v>
      </c>
      <c r="F13" s="17"/>
      <c r="G13" s="17">
        <v>0.54367621122806198</v>
      </c>
      <c r="H13" s="17">
        <v>0.49920333032332698</v>
      </c>
      <c r="I13" s="17">
        <v>0.53336275477823103</v>
      </c>
      <c r="J13" s="17">
        <v>0.49409445683539199</v>
      </c>
      <c r="K13" s="17">
        <v>0.50505757815669505</v>
      </c>
      <c r="L13" s="17">
        <v>0.51495699610863199</v>
      </c>
      <c r="M13" s="17"/>
      <c r="N13" s="17">
        <v>0.46691977968820497</v>
      </c>
      <c r="O13" s="17">
        <v>0.50718895429587796</v>
      </c>
      <c r="P13" s="17">
        <v>0.37915977959535602</v>
      </c>
      <c r="Q13" s="17">
        <v>0.54304927191282404</v>
      </c>
      <c r="R13" s="17">
        <v>0.57289099483943395</v>
      </c>
      <c r="S13" s="17">
        <v>0.412550370238151</v>
      </c>
      <c r="T13" s="17">
        <v>0.591317014390639</v>
      </c>
      <c r="U13" s="17">
        <v>0.59201689107528099</v>
      </c>
      <c r="V13" s="17">
        <v>0.50702222090872395</v>
      </c>
      <c r="W13" s="17"/>
      <c r="X13" s="17">
        <v>0.59124376446281002</v>
      </c>
      <c r="Y13" s="17">
        <v>0.46974991429295199</v>
      </c>
    </row>
    <row r="14" spans="2:25" ht="29" x14ac:dyDescent="0.35">
      <c r="B14" s="18" t="s">
        <v>262</v>
      </c>
      <c r="C14" s="17">
        <v>0.50983265691516799</v>
      </c>
      <c r="D14" s="17">
        <v>0.48698131585481802</v>
      </c>
      <c r="E14" s="17">
        <v>0.53142833758337904</v>
      </c>
      <c r="F14" s="17"/>
      <c r="G14" s="17">
        <v>0.53201708411554405</v>
      </c>
      <c r="H14" s="17">
        <v>0.47348360064740302</v>
      </c>
      <c r="I14" s="17">
        <v>0.48546456806974903</v>
      </c>
      <c r="J14" s="17">
        <v>0.49438427680643099</v>
      </c>
      <c r="K14" s="17">
        <v>0.53771295242842099</v>
      </c>
      <c r="L14" s="17">
        <v>0.53093115007936298</v>
      </c>
      <c r="M14" s="17"/>
      <c r="N14" s="17">
        <v>0.27479518788666901</v>
      </c>
      <c r="O14" s="17">
        <v>0.26012486093704401</v>
      </c>
      <c r="P14" s="17">
        <v>0.45689037863103499</v>
      </c>
      <c r="Q14" s="17">
        <v>0.51250567997887397</v>
      </c>
      <c r="R14" s="17">
        <v>0.54895440581202604</v>
      </c>
      <c r="S14" s="17">
        <v>0.54199205004980699</v>
      </c>
      <c r="T14" s="17">
        <v>0.55625728984707801</v>
      </c>
      <c r="U14" s="17">
        <v>0.58296766014161605</v>
      </c>
      <c r="V14" s="17">
        <v>0.40421235609077999</v>
      </c>
      <c r="W14" s="17"/>
      <c r="X14" s="17">
        <v>0.56307677659951805</v>
      </c>
      <c r="Y14" s="17">
        <v>0.480369143380803</v>
      </c>
    </row>
    <row r="15" spans="2:25" ht="29" x14ac:dyDescent="0.35">
      <c r="B15" s="18" t="s">
        <v>263</v>
      </c>
      <c r="C15" s="17">
        <v>0.424720648945073</v>
      </c>
      <c r="D15" s="17">
        <v>0.409229340868489</v>
      </c>
      <c r="E15" s="17">
        <v>0.439091406229144</v>
      </c>
      <c r="F15" s="17"/>
      <c r="G15" s="17">
        <v>0.54500797651311705</v>
      </c>
      <c r="H15" s="17">
        <v>0.45014723199513301</v>
      </c>
      <c r="I15" s="17">
        <v>0.45648795639899298</v>
      </c>
      <c r="J15" s="17">
        <v>0.42558807512788299</v>
      </c>
      <c r="K15" s="17">
        <v>0.39571623891957702</v>
      </c>
      <c r="L15" s="17">
        <v>0.36302524296855498</v>
      </c>
      <c r="M15" s="17"/>
      <c r="N15" s="17">
        <v>0.66829004707239703</v>
      </c>
      <c r="O15" s="17">
        <v>0.68269843566236998</v>
      </c>
      <c r="P15" s="17">
        <v>0.36774318861876598</v>
      </c>
      <c r="Q15" s="17">
        <v>0.38583802684768498</v>
      </c>
      <c r="R15" s="17">
        <v>0.48208983475117001</v>
      </c>
      <c r="S15" s="17">
        <v>0.35256420977319097</v>
      </c>
      <c r="T15" s="17">
        <v>0.40400260103477098</v>
      </c>
      <c r="U15" s="17">
        <v>0.457191150896192</v>
      </c>
      <c r="V15" s="17">
        <v>0.41694613334256297</v>
      </c>
      <c r="W15" s="17"/>
      <c r="X15" s="17">
        <v>0.45951841476723498</v>
      </c>
      <c r="Y15" s="17">
        <v>0.40546473016295997</v>
      </c>
    </row>
    <row r="16" spans="2:25" ht="43.5" x14ac:dyDescent="0.35">
      <c r="B16" s="18" t="s">
        <v>264</v>
      </c>
      <c r="C16" s="17">
        <v>0.33936848375622902</v>
      </c>
      <c r="D16" s="17">
        <v>0.34228159975467598</v>
      </c>
      <c r="E16" s="17">
        <v>0.336628726852715</v>
      </c>
      <c r="F16" s="17"/>
      <c r="G16" s="17">
        <v>0.50367861447547302</v>
      </c>
      <c r="H16" s="17">
        <v>0.398663135864884</v>
      </c>
      <c r="I16" s="17">
        <v>0.36334920853861102</v>
      </c>
      <c r="J16" s="17">
        <v>0.32697510796361101</v>
      </c>
      <c r="K16" s="17">
        <v>0.28921697521144002</v>
      </c>
      <c r="L16" s="17">
        <v>0.26921665712612902</v>
      </c>
      <c r="M16" s="17"/>
      <c r="N16" s="17">
        <v>0.14934472968047899</v>
      </c>
      <c r="O16" s="17">
        <v>0.52400088950622603</v>
      </c>
      <c r="P16" s="17">
        <v>0.28069520536160802</v>
      </c>
      <c r="Q16" s="17">
        <v>0.26852539817954002</v>
      </c>
      <c r="R16" s="17">
        <v>0.38686291466255102</v>
      </c>
      <c r="S16" s="17">
        <v>0.27353027217808601</v>
      </c>
      <c r="T16" s="17">
        <v>0.35130344956002502</v>
      </c>
      <c r="U16" s="17">
        <v>0.44705485515480597</v>
      </c>
      <c r="V16" s="17">
        <v>0.41426786856248199</v>
      </c>
      <c r="W16" s="17"/>
      <c r="X16" s="17">
        <v>0.38171221195189098</v>
      </c>
      <c r="Y16" s="17">
        <v>0.31593688199091502</v>
      </c>
    </row>
    <row r="17" spans="2:25" ht="29" x14ac:dyDescent="0.35">
      <c r="B17" s="18" t="s">
        <v>265</v>
      </c>
      <c r="C17" s="17">
        <v>0.26033949778774002</v>
      </c>
      <c r="D17" s="17">
        <v>0.23895385648061601</v>
      </c>
      <c r="E17" s="17">
        <v>0.28037156420931703</v>
      </c>
      <c r="F17" s="17"/>
      <c r="G17" s="17">
        <v>0.32320775413493003</v>
      </c>
      <c r="H17" s="17">
        <v>0.262341390276224</v>
      </c>
      <c r="I17" s="17">
        <v>0.25979189026445998</v>
      </c>
      <c r="J17" s="17">
        <v>0.21696619920912999</v>
      </c>
      <c r="K17" s="17">
        <v>0.24346200269597401</v>
      </c>
      <c r="L17" s="17">
        <v>0.27685764942469199</v>
      </c>
      <c r="M17" s="17"/>
      <c r="N17" s="17">
        <v>0.13877266002653799</v>
      </c>
      <c r="O17" s="17">
        <v>0.32589980258885898</v>
      </c>
      <c r="P17" s="17">
        <v>0.21398097993389301</v>
      </c>
      <c r="Q17" s="17">
        <v>0.21434560522478399</v>
      </c>
      <c r="R17" s="17">
        <v>0.30119750048824101</v>
      </c>
      <c r="S17" s="17">
        <v>0.15807231015107201</v>
      </c>
      <c r="T17" s="17">
        <v>0.32634383753166701</v>
      </c>
      <c r="U17" s="17">
        <v>0.36256844724555798</v>
      </c>
      <c r="V17" s="17">
        <v>0.25326149016154198</v>
      </c>
      <c r="W17" s="17"/>
      <c r="X17" s="17">
        <v>0.26437677904836698</v>
      </c>
      <c r="Y17" s="17">
        <v>0.25810540148246303</v>
      </c>
    </row>
    <row r="18" spans="2:25" ht="29" x14ac:dyDescent="0.35">
      <c r="B18" s="18" t="s">
        <v>266</v>
      </c>
      <c r="C18" s="17">
        <v>0.217150426145193</v>
      </c>
      <c r="D18" s="17">
        <v>0.200381351145274</v>
      </c>
      <c r="E18" s="17">
        <v>0.23293425726160899</v>
      </c>
      <c r="F18" s="17"/>
      <c r="G18" s="17">
        <v>0.20334005923873</v>
      </c>
      <c r="H18" s="17">
        <v>0.19204320684779899</v>
      </c>
      <c r="I18" s="17">
        <v>0.22995811499862401</v>
      </c>
      <c r="J18" s="17">
        <v>0.186722481844423</v>
      </c>
      <c r="K18" s="17">
        <v>0.219636348561183</v>
      </c>
      <c r="L18" s="17">
        <v>0.24809410180710101</v>
      </c>
      <c r="M18" s="17"/>
      <c r="N18" s="17">
        <v>0.122063414865503</v>
      </c>
      <c r="O18" s="17">
        <v>0.19790457179833901</v>
      </c>
      <c r="P18" s="17">
        <v>0.18135650561386399</v>
      </c>
      <c r="Q18" s="17">
        <v>0.11584460633386499</v>
      </c>
      <c r="R18" s="17">
        <v>0.27005708343872697</v>
      </c>
      <c r="S18" s="17">
        <v>0.166624945696695</v>
      </c>
      <c r="T18" s="17">
        <v>0.25375162669879098</v>
      </c>
      <c r="U18" s="17">
        <v>0.33491317539740201</v>
      </c>
      <c r="V18" s="17">
        <v>0.22480734109297801</v>
      </c>
      <c r="W18" s="17"/>
      <c r="X18" s="17">
        <v>0.21384768003014701</v>
      </c>
      <c r="Y18" s="17">
        <v>0.21897805528880801</v>
      </c>
    </row>
    <row r="19" spans="2:25" x14ac:dyDescent="0.35">
      <c r="B19" s="18" t="s">
        <v>162</v>
      </c>
      <c r="C19" s="17">
        <v>0.103086180974281</v>
      </c>
      <c r="D19" s="17">
        <v>9.4604368537200695E-2</v>
      </c>
      <c r="E19" s="17">
        <v>0.111483454399481</v>
      </c>
      <c r="F19" s="17"/>
      <c r="G19" s="17">
        <v>3.45448424335748E-2</v>
      </c>
      <c r="H19" s="17">
        <v>5.5103603668050297E-2</v>
      </c>
      <c r="I19" s="17">
        <v>8.5211905509712305E-2</v>
      </c>
      <c r="J19" s="17">
        <v>0.105261910099232</v>
      </c>
      <c r="K19" s="17">
        <v>0.12432489027949301</v>
      </c>
      <c r="L19" s="17">
        <v>0.15299757152263699</v>
      </c>
      <c r="M19" s="17"/>
      <c r="N19" s="17">
        <v>9.2271842221226794E-2</v>
      </c>
      <c r="O19" s="17">
        <v>1.8636489044818599E-2</v>
      </c>
      <c r="P19" s="17">
        <v>0.108064555766703</v>
      </c>
      <c r="Q19" s="17">
        <v>0.15124631996017199</v>
      </c>
      <c r="R19" s="17">
        <v>6.9610960520715498E-2</v>
      </c>
      <c r="S19" s="17">
        <v>0.135091546433111</v>
      </c>
      <c r="T19" s="17">
        <v>8.3492764282731599E-2</v>
      </c>
      <c r="U19" s="17">
        <v>8.7048748736157103E-2</v>
      </c>
      <c r="V19" s="17">
        <v>0.111143577166675</v>
      </c>
      <c r="W19" s="17"/>
      <c r="X19" s="17">
        <v>5.2421956271136799E-2</v>
      </c>
      <c r="Y19" s="17">
        <v>0.131122066985708</v>
      </c>
    </row>
    <row r="20" spans="2:25" x14ac:dyDescent="0.35">
      <c r="B20" s="18" t="s">
        <v>68</v>
      </c>
      <c r="C20" s="19">
        <v>7.2266767107127903E-3</v>
      </c>
      <c r="D20" s="19">
        <v>8.6248119221041305E-3</v>
      </c>
      <c r="E20" s="19">
        <v>5.9393882938541098E-3</v>
      </c>
      <c r="F20" s="19"/>
      <c r="G20" s="19">
        <v>2.58266960339616E-3</v>
      </c>
      <c r="H20" s="19">
        <v>5.1654322637320399E-3</v>
      </c>
      <c r="I20" s="19">
        <v>2.8074362789267701E-3</v>
      </c>
      <c r="J20" s="19">
        <v>6.4818134341473E-3</v>
      </c>
      <c r="K20" s="19">
        <v>1.39941758349214E-2</v>
      </c>
      <c r="L20" s="19">
        <v>9.0643905150230401E-3</v>
      </c>
      <c r="M20" s="19"/>
      <c r="N20" s="19">
        <v>2.2592218659144001E-2</v>
      </c>
      <c r="O20" s="19">
        <v>0</v>
      </c>
      <c r="P20" s="19">
        <v>2.7279075174217499E-3</v>
      </c>
      <c r="Q20" s="19">
        <v>7.76644103391326E-3</v>
      </c>
      <c r="R20" s="19">
        <v>6.0996208261885603E-3</v>
      </c>
      <c r="S20" s="19">
        <v>1.2467912462135499E-2</v>
      </c>
      <c r="T20" s="19">
        <v>5.13796472877418E-3</v>
      </c>
      <c r="U20" s="19">
        <v>7.50536997147938E-3</v>
      </c>
      <c r="V20" s="19">
        <v>6.9718275939607598E-3</v>
      </c>
      <c r="W20" s="19"/>
      <c r="X20" s="19">
        <v>8.7995601577540508E-3</v>
      </c>
      <c r="Y20" s="19">
        <v>6.3562956619769998E-3</v>
      </c>
    </row>
    <row r="21" spans="2:25" x14ac:dyDescent="0.35">
      <c r="B21" s="16"/>
    </row>
    <row r="22" spans="2:25" x14ac:dyDescent="0.35">
      <c r="B22" t="s">
        <v>51</v>
      </c>
    </row>
    <row r="23" spans="2:25" x14ac:dyDescent="0.35">
      <c r="B23" t="s">
        <v>52</v>
      </c>
    </row>
    <row r="25" spans="2:25" x14ac:dyDescent="0.35">
      <c r="B25" s="8" t="str">
        <f>HYPERLINK("#'Contents'!A1", "Return to Contents")</f>
        <v>Return to Contents</v>
      </c>
    </row>
  </sheetData>
  <mergeCells count="5">
    <mergeCell ref="D5:E5"/>
    <mergeCell ref="G5:L5"/>
    <mergeCell ref="N5:V5"/>
    <mergeCell ref="X5:Y5"/>
    <mergeCell ref="D2:W2"/>
  </mergeCells>
  <pageMargins left="0.7" right="0.7" top="0.75" bottom="0.75" header="0.3" footer="0.3"/>
  <pageSetup paperSize="9" orientation="portrait" horizontalDpi="300" verticalDpi="300"/>
  <drawing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B2:Y25"/>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s>
  <sheetData>
    <row r="2" spans="2:25" ht="40" customHeight="1" x14ac:dyDescent="0.35">
      <c r="D2" s="30" t="s">
        <v>268</v>
      </c>
      <c r="E2" s="26"/>
      <c r="F2" s="26"/>
      <c r="G2" s="26"/>
      <c r="H2" s="26"/>
      <c r="I2" s="26"/>
      <c r="J2" s="26"/>
      <c r="K2" s="26"/>
      <c r="L2" s="26"/>
      <c r="M2" s="26"/>
      <c r="N2" s="26"/>
      <c r="O2" s="26"/>
      <c r="P2" s="26"/>
      <c r="Q2" s="26"/>
      <c r="R2" s="26"/>
      <c r="S2" s="26"/>
      <c r="T2" s="26"/>
      <c r="U2" s="26"/>
      <c r="V2" s="26"/>
      <c r="W2" s="26"/>
    </row>
    <row r="5" spans="2:25" ht="30" customHeight="1" x14ac:dyDescent="0.35">
      <c r="B5" s="15"/>
      <c r="C5" s="15"/>
      <c r="D5" s="29" t="s">
        <v>38</v>
      </c>
      <c r="E5" s="29"/>
      <c r="F5" s="15"/>
      <c r="G5" s="29" t="s">
        <v>39</v>
      </c>
      <c r="H5" s="29"/>
      <c r="I5" s="29"/>
      <c r="J5" s="29"/>
      <c r="K5" s="29"/>
      <c r="L5" s="29"/>
      <c r="M5" s="15"/>
      <c r="N5" s="29" t="s">
        <v>40</v>
      </c>
      <c r="O5" s="29"/>
      <c r="P5" s="29"/>
      <c r="Q5" s="29"/>
      <c r="R5" s="29"/>
      <c r="S5" s="29"/>
      <c r="T5" s="29"/>
      <c r="U5" s="29"/>
      <c r="V5" s="29"/>
      <c r="W5" s="15"/>
      <c r="X5" s="29" t="s">
        <v>41</v>
      </c>
      <c r="Y5" s="29"/>
    </row>
    <row r="6" spans="2:25" ht="29"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row>
    <row r="7" spans="2:25" ht="30" customHeight="1" x14ac:dyDescent="0.35">
      <c r="B7" s="10" t="s">
        <v>19</v>
      </c>
      <c r="C7" s="10">
        <v>6838</v>
      </c>
      <c r="D7" s="10">
        <v>3283</v>
      </c>
      <c r="E7" s="10">
        <v>3541</v>
      </c>
      <c r="F7" s="10"/>
      <c r="G7" s="10">
        <v>635</v>
      </c>
      <c r="H7" s="10">
        <v>1075</v>
      </c>
      <c r="I7" s="10">
        <v>1093</v>
      </c>
      <c r="J7" s="10">
        <v>1228</v>
      </c>
      <c r="K7" s="10">
        <v>1156</v>
      </c>
      <c r="L7" s="10">
        <v>1651</v>
      </c>
      <c r="M7" s="10"/>
      <c r="N7" s="10">
        <v>208</v>
      </c>
      <c r="O7" s="10">
        <v>200</v>
      </c>
      <c r="P7" s="10">
        <v>1002</v>
      </c>
      <c r="Q7" s="10">
        <v>1000</v>
      </c>
      <c r="R7" s="10">
        <v>1004</v>
      </c>
      <c r="S7" s="10">
        <v>1006</v>
      </c>
      <c r="T7" s="10">
        <v>1006</v>
      </c>
      <c r="U7" s="10">
        <v>1007</v>
      </c>
      <c r="V7" s="10">
        <v>405</v>
      </c>
      <c r="W7" s="10"/>
      <c r="X7" s="10">
        <v>2650</v>
      </c>
      <c r="Y7" s="10">
        <v>4188</v>
      </c>
    </row>
    <row r="8" spans="2:25" ht="30" customHeight="1" x14ac:dyDescent="0.35">
      <c r="B8" s="11" t="s">
        <v>20</v>
      </c>
      <c r="C8" s="11">
        <v>6838</v>
      </c>
      <c r="D8" s="11">
        <v>3309</v>
      </c>
      <c r="E8" s="11">
        <v>3515</v>
      </c>
      <c r="F8" s="11"/>
      <c r="G8" s="11">
        <v>645</v>
      </c>
      <c r="H8" s="11">
        <v>1026</v>
      </c>
      <c r="I8" s="11">
        <v>1111</v>
      </c>
      <c r="J8" s="11">
        <v>1184</v>
      </c>
      <c r="K8" s="11">
        <v>1140</v>
      </c>
      <c r="L8" s="11">
        <v>1732</v>
      </c>
      <c r="M8" s="11"/>
      <c r="N8" s="11">
        <v>208</v>
      </c>
      <c r="O8" s="11">
        <v>200</v>
      </c>
      <c r="P8" s="11">
        <v>1002</v>
      </c>
      <c r="Q8" s="11">
        <v>1000</v>
      </c>
      <c r="R8" s="11">
        <v>1004</v>
      </c>
      <c r="S8" s="11">
        <v>1006</v>
      </c>
      <c r="T8" s="11">
        <v>1006</v>
      </c>
      <c r="U8" s="11">
        <v>1007</v>
      </c>
      <c r="V8" s="11">
        <v>405</v>
      </c>
      <c r="W8" s="11"/>
      <c r="X8" s="11">
        <v>2436</v>
      </c>
      <c r="Y8" s="11">
        <v>4402</v>
      </c>
    </row>
    <row r="9" spans="2:25" x14ac:dyDescent="0.35">
      <c r="B9" s="18" t="s">
        <v>162</v>
      </c>
      <c r="C9" s="17">
        <v>0.332773368151627</v>
      </c>
      <c r="D9" s="17">
        <v>0.28829579602261302</v>
      </c>
      <c r="E9" s="17">
        <v>0.37512676986956001</v>
      </c>
      <c r="F9" s="17"/>
      <c r="G9" s="17">
        <v>0.22470685440100099</v>
      </c>
      <c r="H9" s="17">
        <v>0.23530181717583401</v>
      </c>
      <c r="I9" s="17">
        <v>0.30564155989915398</v>
      </c>
      <c r="J9" s="17">
        <v>0.32799940883158601</v>
      </c>
      <c r="K9" s="17">
        <v>0.380683546736309</v>
      </c>
      <c r="L9" s="17">
        <v>0.41982230664093101</v>
      </c>
      <c r="M9" s="17"/>
      <c r="N9" s="17">
        <v>0.24072995637967201</v>
      </c>
      <c r="O9" s="17">
        <v>0.35930058860644398</v>
      </c>
      <c r="P9" s="17">
        <v>0.308407357379268</v>
      </c>
      <c r="Q9" s="17">
        <v>0.28071316342473901</v>
      </c>
      <c r="R9" s="17">
        <v>0.34189083175104701</v>
      </c>
      <c r="S9" s="17">
        <v>0.36803597048916298</v>
      </c>
      <c r="T9" s="17">
        <v>0.39515735453291401</v>
      </c>
      <c r="U9" s="17">
        <v>0.33335601747740401</v>
      </c>
      <c r="V9" s="17">
        <v>0.28917189531801002</v>
      </c>
      <c r="W9" s="17"/>
      <c r="X9" s="17">
        <v>0.27263100980187799</v>
      </c>
      <c r="Y9" s="17">
        <v>0.36605413605109699</v>
      </c>
    </row>
    <row r="10" spans="2:25" ht="29" x14ac:dyDescent="0.35">
      <c r="B10" s="18" t="s">
        <v>266</v>
      </c>
      <c r="C10" s="17">
        <v>0.30410123900743902</v>
      </c>
      <c r="D10" s="17">
        <v>0.32957127429009803</v>
      </c>
      <c r="E10" s="17">
        <v>0.279426250023596</v>
      </c>
      <c r="F10" s="17"/>
      <c r="G10" s="17">
        <v>0.417608433772445</v>
      </c>
      <c r="H10" s="17">
        <v>0.37831940116059298</v>
      </c>
      <c r="I10" s="17">
        <v>0.29557946334152801</v>
      </c>
      <c r="J10" s="17">
        <v>0.32681216793328099</v>
      </c>
      <c r="K10" s="17">
        <v>0.29236843428349601</v>
      </c>
      <c r="L10" s="17">
        <v>0.215593454246396</v>
      </c>
      <c r="M10" s="17"/>
      <c r="N10" s="17">
        <v>0.41602653899277803</v>
      </c>
      <c r="O10" s="17">
        <v>0.37353795811048701</v>
      </c>
      <c r="P10" s="17">
        <v>0.278890333617279</v>
      </c>
      <c r="Q10" s="17">
        <v>0.45514010807466998</v>
      </c>
      <c r="R10" s="17">
        <v>0.27121054869821698</v>
      </c>
      <c r="S10" s="17">
        <v>0.27552782168179601</v>
      </c>
      <c r="T10" s="17">
        <v>0.23776974707547799</v>
      </c>
      <c r="U10" s="17">
        <v>0.241007221048326</v>
      </c>
      <c r="V10" s="17">
        <v>0.37592079403110901</v>
      </c>
      <c r="W10" s="17"/>
      <c r="X10" s="17">
        <v>0.362253846534838</v>
      </c>
      <c r="Y10" s="17">
        <v>0.271921532607941</v>
      </c>
    </row>
    <row r="11" spans="2:25" ht="29" x14ac:dyDescent="0.35">
      <c r="B11" s="18" t="s">
        <v>265</v>
      </c>
      <c r="C11" s="17">
        <v>0.26183629647044299</v>
      </c>
      <c r="D11" s="17">
        <v>0.29107376157113501</v>
      </c>
      <c r="E11" s="17">
        <v>0.23427917378517499</v>
      </c>
      <c r="F11" s="17"/>
      <c r="G11" s="17">
        <v>0.31753652453904102</v>
      </c>
      <c r="H11" s="17">
        <v>0.31186389975593798</v>
      </c>
      <c r="I11" s="17">
        <v>0.25060193021039701</v>
      </c>
      <c r="J11" s="17">
        <v>0.265421615110774</v>
      </c>
      <c r="K11" s="17">
        <v>0.26758899820851301</v>
      </c>
      <c r="L11" s="17">
        <v>0.21246179842544599</v>
      </c>
      <c r="M11" s="17"/>
      <c r="N11" s="17">
        <v>0.38369127127880998</v>
      </c>
      <c r="O11" s="17">
        <v>0.293498577801102</v>
      </c>
      <c r="P11" s="17">
        <v>0.26713203606192998</v>
      </c>
      <c r="Q11" s="17">
        <v>0.29720356725946501</v>
      </c>
      <c r="R11" s="17">
        <v>0.23213536106945401</v>
      </c>
      <c r="S11" s="17">
        <v>0.32257463149624899</v>
      </c>
      <c r="T11" s="17">
        <v>0.17683744095718201</v>
      </c>
      <c r="U11" s="17">
        <v>0.219332444470413</v>
      </c>
      <c r="V11" s="17">
        <v>0.32276298494213801</v>
      </c>
      <c r="W11" s="17"/>
      <c r="X11" s="17">
        <v>0.30842519720256001</v>
      </c>
      <c r="Y11" s="17">
        <v>0.23605555832678299</v>
      </c>
    </row>
    <row r="12" spans="2:25" ht="43.5" x14ac:dyDescent="0.35">
      <c r="B12" s="18" t="s">
        <v>264</v>
      </c>
      <c r="C12" s="17">
        <v>0.238811521827025</v>
      </c>
      <c r="D12" s="17">
        <v>0.24147038370832</v>
      </c>
      <c r="E12" s="17">
        <v>0.23609633697416799</v>
      </c>
      <c r="F12" s="17"/>
      <c r="G12" s="17">
        <v>0.16538870807081099</v>
      </c>
      <c r="H12" s="17">
        <v>0.20010025291473299</v>
      </c>
      <c r="I12" s="17">
        <v>0.215642036745127</v>
      </c>
      <c r="J12" s="17">
        <v>0.23758194912397701</v>
      </c>
      <c r="K12" s="17">
        <v>0.26926846465926602</v>
      </c>
      <c r="L12" s="17">
        <v>0.28470707761783998</v>
      </c>
      <c r="M12" s="17"/>
      <c r="N12" s="17">
        <v>0.44342820091040802</v>
      </c>
      <c r="O12" s="17">
        <v>0.15869433867798999</v>
      </c>
      <c r="P12" s="17">
        <v>0.27103582445891999</v>
      </c>
      <c r="Q12" s="17">
        <v>0.287676071928536</v>
      </c>
      <c r="R12" s="17">
        <v>0.21284347281975899</v>
      </c>
      <c r="S12" s="17">
        <v>0.237241398458921</v>
      </c>
      <c r="T12" s="17">
        <v>0.21004979624435799</v>
      </c>
      <c r="U12" s="17">
        <v>0.20583331705823099</v>
      </c>
      <c r="V12" s="17">
        <v>0.19462554526342299</v>
      </c>
      <c r="W12" s="17"/>
      <c r="X12" s="17">
        <v>0.23042699544290901</v>
      </c>
      <c r="Y12" s="17">
        <v>0.243451238063526</v>
      </c>
    </row>
    <row r="13" spans="2:25" ht="29" x14ac:dyDescent="0.35">
      <c r="B13" s="18" t="s">
        <v>263</v>
      </c>
      <c r="C13" s="17">
        <v>0.15588361228338199</v>
      </c>
      <c r="D13" s="17">
        <v>0.17245328847465</v>
      </c>
      <c r="E13" s="17">
        <v>0.14064693692901001</v>
      </c>
      <c r="F13" s="17"/>
      <c r="G13" s="17">
        <v>0.14132132552489901</v>
      </c>
      <c r="H13" s="17">
        <v>0.149814953196995</v>
      </c>
      <c r="I13" s="17">
        <v>0.139549916541028</v>
      </c>
      <c r="J13" s="17">
        <v>0.15769778815906299</v>
      </c>
      <c r="K13" s="17">
        <v>0.14447152914059599</v>
      </c>
      <c r="L13" s="17">
        <v>0.18164470760964199</v>
      </c>
      <c r="M13" s="17"/>
      <c r="N13" s="17">
        <v>7.9746561038684105E-2</v>
      </c>
      <c r="O13" s="17">
        <v>5.95190722405659E-2</v>
      </c>
      <c r="P13" s="17">
        <v>0.17218542952913801</v>
      </c>
      <c r="Q13" s="17">
        <v>0.127675063271185</v>
      </c>
      <c r="R13" s="17">
        <v>0.137589347536689</v>
      </c>
      <c r="S13" s="17">
        <v>0.17578131440022501</v>
      </c>
      <c r="T13" s="17">
        <v>0.16968109807770801</v>
      </c>
      <c r="U13" s="17">
        <v>0.16860569760395</v>
      </c>
      <c r="V13" s="17">
        <v>0.201914441045461</v>
      </c>
      <c r="W13" s="17"/>
      <c r="X13" s="17">
        <v>0.16391705519630601</v>
      </c>
      <c r="Y13" s="17">
        <v>0.151438173887636</v>
      </c>
    </row>
    <row r="14" spans="2:25" x14ac:dyDescent="0.35">
      <c r="B14" s="18" t="s">
        <v>261</v>
      </c>
      <c r="C14" s="17">
        <v>8.6912519520632697E-2</v>
      </c>
      <c r="D14" s="17">
        <v>0.104630638238194</v>
      </c>
      <c r="E14" s="17">
        <v>7.0071765478572204E-2</v>
      </c>
      <c r="F14" s="17"/>
      <c r="G14" s="17">
        <v>0.120250838314359</v>
      </c>
      <c r="H14" s="17">
        <v>0.114654587244489</v>
      </c>
      <c r="I14" s="17">
        <v>8.2588345232044294E-2</v>
      </c>
      <c r="J14" s="17">
        <v>8.7142186053750306E-2</v>
      </c>
      <c r="K14" s="17">
        <v>8.0454847927008105E-2</v>
      </c>
      <c r="L14" s="17">
        <v>6.4950260742232396E-2</v>
      </c>
      <c r="M14" s="17"/>
      <c r="N14" s="17">
        <v>0.127630392422103</v>
      </c>
      <c r="O14" s="17">
        <v>0.137566085423588</v>
      </c>
      <c r="P14" s="17">
        <v>0.148499539830178</v>
      </c>
      <c r="Q14" s="17">
        <v>6.9007420250032106E-2</v>
      </c>
      <c r="R14" s="17">
        <v>5.9169983894914999E-2</v>
      </c>
      <c r="S14" s="17">
        <v>9.06137047351218E-2</v>
      </c>
      <c r="T14" s="17">
        <v>4.6518596950219301E-2</v>
      </c>
      <c r="U14" s="17">
        <v>9.0456983490997594E-2</v>
      </c>
      <c r="V14" s="17">
        <v>8.3929799783502207E-2</v>
      </c>
      <c r="W14" s="17"/>
      <c r="X14" s="17">
        <v>8.5303236557238302E-2</v>
      </c>
      <c r="Y14" s="17">
        <v>8.7803042843277307E-2</v>
      </c>
    </row>
    <row r="15" spans="2:25" ht="29" x14ac:dyDescent="0.35">
      <c r="B15" s="18" t="s">
        <v>262</v>
      </c>
      <c r="C15" s="17">
        <v>7.0348050916364702E-2</v>
      </c>
      <c r="D15" s="17">
        <v>8.6369840662008396E-2</v>
      </c>
      <c r="E15" s="17">
        <v>5.46172269494812E-2</v>
      </c>
      <c r="F15" s="17"/>
      <c r="G15" s="17">
        <v>0.106148377722606</v>
      </c>
      <c r="H15" s="17">
        <v>9.0191819935450807E-2</v>
      </c>
      <c r="I15" s="17">
        <v>9.4459289874375102E-2</v>
      </c>
      <c r="J15" s="17">
        <v>7.36930234723807E-2</v>
      </c>
      <c r="K15" s="17">
        <v>4.8999232160218599E-2</v>
      </c>
      <c r="L15" s="17">
        <v>4.15780667478143E-2</v>
      </c>
      <c r="M15" s="17"/>
      <c r="N15" s="17">
        <v>0.19479474862746499</v>
      </c>
      <c r="O15" s="17">
        <v>0.17073849833851701</v>
      </c>
      <c r="P15" s="17">
        <v>8.1701386565368697E-2</v>
      </c>
      <c r="Q15" s="17">
        <v>5.67160721834849E-2</v>
      </c>
      <c r="R15" s="17">
        <v>5.0047771812651298E-2</v>
      </c>
      <c r="S15" s="17">
        <v>5.2296133592562799E-2</v>
      </c>
      <c r="T15" s="17">
        <v>5.4489330694032702E-2</v>
      </c>
      <c r="U15" s="17">
        <v>5.8086844195100101E-2</v>
      </c>
      <c r="V15" s="17">
        <v>0.127472867123996</v>
      </c>
      <c r="W15" s="17"/>
      <c r="X15" s="17">
        <v>8.4311624616336206E-2</v>
      </c>
      <c r="Y15" s="17">
        <v>6.2621076648854301E-2</v>
      </c>
    </row>
    <row r="16" spans="2:25" x14ac:dyDescent="0.35">
      <c r="B16" s="18" t="s">
        <v>259</v>
      </c>
      <c r="C16" s="17">
        <v>4.7531822752155103E-2</v>
      </c>
      <c r="D16" s="17">
        <v>5.7941033627914001E-2</v>
      </c>
      <c r="E16" s="17">
        <v>3.7608368154018502E-2</v>
      </c>
      <c r="F16" s="17"/>
      <c r="G16" s="17">
        <v>7.8824166407533605E-2</v>
      </c>
      <c r="H16" s="17">
        <v>6.6254067807571093E-2</v>
      </c>
      <c r="I16" s="17">
        <v>5.8193444215759602E-2</v>
      </c>
      <c r="J16" s="17">
        <v>4.4533591363571601E-2</v>
      </c>
      <c r="K16" s="17">
        <v>2.8364947592916499E-2</v>
      </c>
      <c r="L16" s="17">
        <v>3.2629112839686197E-2</v>
      </c>
      <c r="M16" s="17"/>
      <c r="N16" s="17">
        <v>5.5689603686477601E-2</v>
      </c>
      <c r="O16" s="17">
        <v>1.4057182861434699E-2</v>
      </c>
      <c r="P16" s="17">
        <v>2.9279738671706201E-2</v>
      </c>
      <c r="Q16" s="17">
        <v>4.0631373262230902E-2</v>
      </c>
      <c r="R16" s="17">
        <v>7.1573316513808397E-2</v>
      </c>
      <c r="S16" s="17">
        <v>3.46072808040555E-2</v>
      </c>
      <c r="T16" s="17">
        <v>8.5614874762901402E-2</v>
      </c>
      <c r="U16" s="17">
        <v>3.3660162424120198E-2</v>
      </c>
      <c r="V16" s="17">
        <v>3.4467102685359401E-2</v>
      </c>
      <c r="W16" s="17"/>
      <c r="X16" s="17">
        <v>5.0139822019772802E-2</v>
      </c>
      <c r="Y16" s="17">
        <v>4.60886432578822E-2</v>
      </c>
    </row>
    <row r="17" spans="2:25" x14ac:dyDescent="0.35">
      <c r="B17" s="18" t="s">
        <v>260</v>
      </c>
      <c r="C17" s="17">
        <v>4.1920187366714302E-2</v>
      </c>
      <c r="D17" s="17">
        <v>5.2426117951591703E-2</v>
      </c>
      <c r="E17" s="17">
        <v>3.18885148435534E-2</v>
      </c>
      <c r="F17" s="17"/>
      <c r="G17" s="17">
        <v>6.2367001059237002E-2</v>
      </c>
      <c r="H17" s="17">
        <v>6.4169906057711598E-2</v>
      </c>
      <c r="I17" s="17">
        <v>6.0830821446357E-2</v>
      </c>
      <c r="J17" s="17">
        <v>2.89083020462329E-2</v>
      </c>
      <c r="K17" s="17">
        <v>4.0634134464102703E-2</v>
      </c>
      <c r="L17" s="17">
        <v>1.8747358833607501E-2</v>
      </c>
      <c r="M17" s="17"/>
      <c r="N17" s="17">
        <v>6.0623778198509198E-2</v>
      </c>
      <c r="O17" s="17">
        <v>2.6161352364196901E-2</v>
      </c>
      <c r="P17" s="17">
        <v>3.7827762184976098E-2</v>
      </c>
      <c r="Q17" s="17">
        <v>3.7872793899070202E-2</v>
      </c>
      <c r="R17" s="17">
        <v>4.1293441216055701E-2</v>
      </c>
      <c r="S17" s="17">
        <v>3.7765823426386902E-2</v>
      </c>
      <c r="T17" s="17">
        <v>3.6020231059300599E-2</v>
      </c>
      <c r="U17" s="17">
        <v>5.36627695293906E-2</v>
      </c>
      <c r="V17" s="17">
        <v>5.7546218660317998E-2</v>
      </c>
      <c r="W17" s="17"/>
      <c r="X17" s="17">
        <v>4.43646666512151E-2</v>
      </c>
      <c r="Y17" s="17">
        <v>4.0567494357414101E-2</v>
      </c>
    </row>
    <row r="18" spans="2:25" x14ac:dyDescent="0.35">
      <c r="B18" s="18" t="s">
        <v>258</v>
      </c>
      <c r="C18" s="17">
        <v>3.9388702770637898E-2</v>
      </c>
      <c r="D18" s="17">
        <v>4.4951226421707097E-2</v>
      </c>
      <c r="E18" s="17">
        <v>3.4309750079453902E-2</v>
      </c>
      <c r="F18" s="17"/>
      <c r="G18" s="17">
        <v>7.6972551287861901E-2</v>
      </c>
      <c r="H18" s="17">
        <v>6.20231446770277E-2</v>
      </c>
      <c r="I18" s="17">
        <v>5.7871268841881297E-2</v>
      </c>
      <c r="J18" s="17">
        <v>2.7756069098232999E-2</v>
      </c>
      <c r="K18" s="17">
        <v>2.0642123498104899E-2</v>
      </c>
      <c r="L18" s="17">
        <v>2.0435564988297399E-2</v>
      </c>
      <c r="M18" s="17"/>
      <c r="N18" s="17">
        <v>3.5794608766285797E-2</v>
      </c>
      <c r="O18" s="17">
        <v>9.0130006909208693E-3</v>
      </c>
      <c r="P18" s="17">
        <v>4.2940545534637498E-2</v>
      </c>
      <c r="Q18" s="17">
        <v>3.6039598562484898E-2</v>
      </c>
      <c r="R18" s="17">
        <v>4.1819008285391999E-2</v>
      </c>
      <c r="S18" s="17">
        <v>3.9335999430700201E-2</v>
      </c>
      <c r="T18" s="17">
        <v>3.4658754107635602E-2</v>
      </c>
      <c r="U18" s="17">
        <v>5.2620551530878697E-2</v>
      </c>
      <c r="V18" s="17">
        <v>2.8671960064604301E-2</v>
      </c>
      <c r="W18" s="17"/>
      <c r="X18" s="17">
        <v>4.8592714656737097E-2</v>
      </c>
      <c r="Y18" s="17">
        <v>3.4295510688879302E-2</v>
      </c>
    </row>
    <row r="19" spans="2:25" x14ac:dyDescent="0.35">
      <c r="B19" s="18" t="s">
        <v>257</v>
      </c>
      <c r="C19" s="17">
        <v>3.7234483013121197E-2</v>
      </c>
      <c r="D19" s="17">
        <v>4.6939265445091201E-2</v>
      </c>
      <c r="E19" s="17">
        <v>2.8247385525559401E-2</v>
      </c>
      <c r="F19" s="17"/>
      <c r="G19" s="17">
        <v>7.2698410283380296E-2</v>
      </c>
      <c r="H19" s="17">
        <v>6.6953771759376599E-2</v>
      </c>
      <c r="I19" s="17">
        <v>4.24939556175375E-2</v>
      </c>
      <c r="J19" s="17">
        <v>4.0368628666753698E-2</v>
      </c>
      <c r="K19" s="17">
        <v>1.5582408096124401E-2</v>
      </c>
      <c r="L19" s="17">
        <v>1.51797231056163E-2</v>
      </c>
      <c r="M19" s="17"/>
      <c r="N19" s="17">
        <v>5.7540918807387903E-2</v>
      </c>
      <c r="O19" s="17">
        <v>1.2014409185205599E-2</v>
      </c>
      <c r="P19" s="17">
        <v>3.4075693689766103E-2</v>
      </c>
      <c r="Q19" s="17">
        <v>4.3954125949435902E-2</v>
      </c>
      <c r="R19" s="17">
        <v>2.5375089890166399E-2</v>
      </c>
      <c r="S19" s="17">
        <v>4.1850960334289901E-2</v>
      </c>
      <c r="T19" s="17">
        <v>4.1035815272769803E-2</v>
      </c>
      <c r="U19" s="17">
        <v>4.0234480681125402E-2</v>
      </c>
      <c r="V19" s="17">
        <v>3.1514129165039401E-2</v>
      </c>
      <c r="W19" s="17"/>
      <c r="X19" s="17">
        <v>4.4983974723200197E-2</v>
      </c>
      <c r="Y19" s="17">
        <v>3.2946173708019201E-2</v>
      </c>
    </row>
    <row r="20" spans="2:25" x14ac:dyDescent="0.35">
      <c r="B20" s="18" t="s">
        <v>106</v>
      </c>
      <c r="C20" s="19">
        <v>1.0371087083719199E-2</v>
      </c>
      <c r="D20" s="19">
        <v>1.0815909136682801E-2</v>
      </c>
      <c r="E20" s="19">
        <v>9.9938303183549904E-3</v>
      </c>
      <c r="F20" s="19"/>
      <c r="G20" s="19">
        <v>4.8793491655001403E-3</v>
      </c>
      <c r="H20" s="19">
        <v>7.0711648564045302E-3</v>
      </c>
      <c r="I20" s="19">
        <v>4.9266519093966099E-3</v>
      </c>
      <c r="J20" s="19">
        <v>9.9047994090511494E-3</v>
      </c>
      <c r="K20" s="19">
        <v>1.8092613052724901E-2</v>
      </c>
      <c r="L20" s="19">
        <v>1.30968503990638E-2</v>
      </c>
      <c r="M20" s="19"/>
      <c r="N20" s="19">
        <v>1.73105066087073E-2</v>
      </c>
      <c r="O20" s="19">
        <v>7.3468610740331803E-3</v>
      </c>
      <c r="P20" s="19">
        <v>3.3914968171304101E-3</v>
      </c>
      <c r="Q20" s="19">
        <v>3.8948342695046502E-3</v>
      </c>
      <c r="R20" s="19">
        <v>7.5354402914840799E-3</v>
      </c>
      <c r="S20" s="19">
        <v>6.69972598574503E-3</v>
      </c>
      <c r="T20" s="19">
        <v>1.3721342138262101E-2</v>
      </c>
      <c r="U20" s="19">
        <v>2.6799583957394998E-2</v>
      </c>
      <c r="V20" s="19">
        <v>8.5384300698442203E-3</v>
      </c>
      <c r="W20" s="19"/>
      <c r="X20" s="19">
        <v>1.47394762276615E-2</v>
      </c>
      <c r="Y20" s="19">
        <v>7.9537667593539106E-3</v>
      </c>
    </row>
    <row r="21" spans="2:25" x14ac:dyDescent="0.35">
      <c r="B21" s="16"/>
    </row>
    <row r="22" spans="2:25" x14ac:dyDescent="0.35">
      <c r="B22" t="s">
        <v>51</v>
      </c>
    </row>
    <row r="23" spans="2:25" x14ac:dyDescent="0.35">
      <c r="B23" t="s">
        <v>52</v>
      </c>
    </row>
    <row r="25" spans="2:25" x14ac:dyDescent="0.35">
      <c r="B25" s="8" t="str">
        <f>HYPERLINK("#'Contents'!A1", "Return to Contents")</f>
        <v>Return to Contents</v>
      </c>
    </row>
  </sheetData>
  <mergeCells count="5">
    <mergeCell ref="D5:E5"/>
    <mergeCell ref="G5:L5"/>
    <mergeCell ref="N5:V5"/>
    <mergeCell ref="X5:Y5"/>
    <mergeCell ref="D2:W2"/>
  </mergeCells>
  <pageMargins left="0.7" right="0.7" top="0.75" bottom="0.75" header="0.3" footer="0.3"/>
  <pageSetup paperSize="9" orientation="portrait" horizontalDpi="300" verticalDpi="300"/>
  <drawing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B2:L22"/>
  <sheetViews>
    <sheetView showGridLines="0" topLeftCell="A7" workbookViewId="0">
      <pane xSplit="2" topLeftCell="C1" activePane="topRight" state="frozen"/>
      <selection pane="topRight" activeCell="B16" sqref="B16"/>
    </sheetView>
  </sheetViews>
  <sheetFormatPr defaultColWidth="10.90625" defaultRowHeight="14.5" x14ac:dyDescent="0.35"/>
  <cols>
    <col min="2" max="2" width="25.7265625" customWidth="1"/>
    <col min="3" max="12" width="20.7265625" customWidth="1"/>
  </cols>
  <sheetData>
    <row r="2" spans="2:12" ht="40" customHeight="1" x14ac:dyDescent="0.35">
      <c r="D2" s="30" t="s">
        <v>283</v>
      </c>
      <c r="E2" s="26"/>
      <c r="F2" s="26"/>
      <c r="G2" s="26"/>
      <c r="H2" s="26"/>
      <c r="I2" s="26"/>
      <c r="J2" s="26"/>
      <c r="K2" s="26"/>
      <c r="L2" s="26"/>
    </row>
    <row r="6" spans="2:12" ht="50" customHeight="1" x14ac:dyDescent="0.35">
      <c r="B6" s="20" t="s">
        <v>15</v>
      </c>
      <c r="C6" s="20" t="s">
        <v>269</v>
      </c>
      <c r="D6" s="20" t="s">
        <v>270</v>
      </c>
      <c r="E6" s="20" t="s">
        <v>271</v>
      </c>
      <c r="F6" s="20" t="s">
        <v>171</v>
      </c>
      <c r="G6" s="20" t="s">
        <v>272</v>
      </c>
      <c r="H6" s="20" t="s">
        <v>273</v>
      </c>
      <c r="I6" s="20" t="s">
        <v>274</v>
      </c>
      <c r="J6" s="20" t="s">
        <v>275</v>
      </c>
      <c r="K6" s="20" t="s">
        <v>180</v>
      </c>
    </row>
    <row r="7" spans="2:12" x14ac:dyDescent="0.35">
      <c r="B7" s="18" t="s">
        <v>276</v>
      </c>
      <c r="C7" s="17">
        <v>0.55240323260421498</v>
      </c>
      <c r="D7" s="17">
        <v>0.50149092765187198</v>
      </c>
      <c r="E7" s="17">
        <v>0.42257651563259202</v>
      </c>
      <c r="F7" s="17">
        <v>0.37667431404573398</v>
      </c>
      <c r="G7" s="17">
        <v>0.39613859382116101</v>
      </c>
      <c r="H7" s="17">
        <v>0.49262265202799599</v>
      </c>
      <c r="I7" s="17">
        <v>0.30357540256983501</v>
      </c>
      <c r="J7" s="17">
        <v>0.223731337427854</v>
      </c>
      <c r="K7" s="17">
        <v>0.22285984742002901</v>
      </c>
    </row>
    <row r="8" spans="2:12" x14ac:dyDescent="0.35">
      <c r="B8" s="18" t="s">
        <v>277</v>
      </c>
      <c r="C8" s="17">
        <v>0.32762446166548098</v>
      </c>
      <c r="D8" s="17">
        <v>0.354951129844219</v>
      </c>
      <c r="E8" s="17">
        <v>0.37762143019522398</v>
      </c>
      <c r="F8" s="17">
        <v>0.39701414453459399</v>
      </c>
      <c r="G8" s="17">
        <v>0.380157249734767</v>
      </c>
      <c r="H8" s="17">
        <v>0.28671815468393602</v>
      </c>
      <c r="I8" s="17">
        <v>0.34942129339381001</v>
      </c>
      <c r="J8" s="17">
        <v>0.317163749480803</v>
      </c>
      <c r="K8" s="17">
        <v>0.29232786198598998</v>
      </c>
    </row>
    <row r="9" spans="2:12" ht="29" x14ac:dyDescent="0.35">
      <c r="B9" s="18" t="s">
        <v>278</v>
      </c>
      <c r="C9" s="17">
        <v>8.8337533156382306E-2</v>
      </c>
      <c r="D9" s="17">
        <v>0.100683370113029</v>
      </c>
      <c r="E9" s="17">
        <v>0.140595589352325</v>
      </c>
      <c r="F9" s="17">
        <v>0.15787380560679801</v>
      </c>
      <c r="G9" s="17">
        <v>0.149117822822425</v>
      </c>
      <c r="H9" s="17">
        <v>0.135719849544888</v>
      </c>
      <c r="I9" s="17">
        <v>0.209130662101735</v>
      </c>
      <c r="J9" s="17">
        <v>0.28800316792915098</v>
      </c>
      <c r="K9" s="17">
        <v>0.27404094788577299</v>
      </c>
    </row>
    <row r="10" spans="2:12" x14ac:dyDescent="0.35">
      <c r="B10" s="18" t="s">
        <v>279</v>
      </c>
      <c r="C10" s="17">
        <v>1.08555727727273E-2</v>
      </c>
      <c r="D10" s="17">
        <v>1.9449161809854901E-2</v>
      </c>
      <c r="E10" s="17">
        <v>3.2497972707290802E-2</v>
      </c>
      <c r="F10" s="17">
        <v>3.3752843371374498E-2</v>
      </c>
      <c r="G10" s="17">
        <v>3.4163048527950497E-2</v>
      </c>
      <c r="H10" s="17">
        <v>4.0111248447766E-2</v>
      </c>
      <c r="I10" s="17">
        <v>7.8186735020487494E-2</v>
      </c>
      <c r="J10" s="17">
        <v>9.6446363869817406E-2</v>
      </c>
      <c r="K10" s="17">
        <v>8.8095999362597696E-2</v>
      </c>
    </row>
    <row r="11" spans="2:12" x14ac:dyDescent="0.35">
      <c r="B11" s="18" t="s">
        <v>280</v>
      </c>
      <c r="C11" s="17">
        <v>9.7318244796854095E-3</v>
      </c>
      <c r="D11" s="17">
        <v>9.4541289651112193E-3</v>
      </c>
      <c r="E11" s="17">
        <v>1.1091347469718999E-2</v>
      </c>
      <c r="F11" s="17">
        <v>1.2679727957289499E-2</v>
      </c>
      <c r="G11" s="17">
        <v>1.4243064321053401E-2</v>
      </c>
      <c r="H11" s="17">
        <v>2.6629742765222002E-2</v>
      </c>
      <c r="I11" s="17">
        <v>3.4946837501972201E-2</v>
      </c>
      <c r="J11" s="17">
        <v>4.9603506649599997E-2</v>
      </c>
      <c r="K11" s="17">
        <v>6.2553995396889897E-2</v>
      </c>
    </row>
    <row r="12" spans="2:12" x14ac:dyDescent="0.35">
      <c r="B12" s="18" t="s">
        <v>162</v>
      </c>
      <c r="C12" s="17">
        <v>1.1047375321508899E-2</v>
      </c>
      <c r="D12" s="17">
        <v>1.39712816159139E-2</v>
      </c>
      <c r="E12" s="17">
        <v>1.5617144642848401E-2</v>
      </c>
      <c r="F12" s="17">
        <v>2.2005164484209899E-2</v>
      </c>
      <c r="G12" s="17">
        <v>2.6180220772643099E-2</v>
      </c>
      <c r="H12" s="17">
        <v>1.8198352530192301E-2</v>
      </c>
      <c r="I12" s="17">
        <v>2.4739069412160902E-2</v>
      </c>
      <c r="J12" s="17">
        <v>2.50518746427741E-2</v>
      </c>
      <c r="K12" s="17">
        <v>6.0121347948720497E-2</v>
      </c>
    </row>
    <row r="13" spans="2:12" x14ac:dyDescent="0.35">
      <c r="B13" s="23" t="s">
        <v>281</v>
      </c>
      <c r="C13" s="21">
        <v>0.88002769426969596</v>
      </c>
      <c r="D13" s="21">
        <v>0.85644205749609004</v>
      </c>
      <c r="E13" s="21">
        <v>0.800197945827817</v>
      </c>
      <c r="F13" s="21">
        <v>0.77368845858032897</v>
      </c>
      <c r="G13" s="21">
        <v>0.77629584355592796</v>
      </c>
      <c r="H13" s="21">
        <v>0.77934080671193096</v>
      </c>
      <c r="I13" s="21">
        <v>0.65299669596364396</v>
      </c>
      <c r="J13" s="21">
        <v>0.54089508690865695</v>
      </c>
      <c r="K13" s="21">
        <v>0.51518770940601899</v>
      </c>
    </row>
    <row r="14" spans="2:12" x14ac:dyDescent="0.35">
      <c r="B14" s="23" t="s">
        <v>282</v>
      </c>
      <c r="C14" s="21">
        <v>2.0587397252412699E-2</v>
      </c>
      <c r="D14" s="21">
        <v>2.89032907749662E-2</v>
      </c>
      <c r="E14" s="21">
        <v>4.3589320177009797E-2</v>
      </c>
      <c r="F14" s="21">
        <v>4.6432571328663998E-2</v>
      </c>
      <c r="G14" s="21">
        <v>4.8406112849003903E-2</v>
      </c>
      <c r="H14" s="21">
        <v>6.6740991212987905E-2</v>
      </c>
      <c r="I14" s="21">
        <v>0.11313357252245999</v>
      </c>
      <c r="J14" s="21">
        <v>0.14604987051941701</v>
      </c>
      <c r="K14" s="21">
        <v>0.15064999475948801</v>
      </c>
    </row>
    <row r="15" spans="2:12" x14ac:dyDescent="0.35">
      <c r="B15" s="23" t="s">
        <v>92</v>
      </c>
      <c r="C15" s="22">
        <v>0.85944029701728297</v>
      </c>
      <c r="D15" s="22">
        <v>0.82753876672112403</v>
      </c>
      <c r="E15" s="22">
        <v>0.756608625650807</v>
      </c>
      <c r="F15" s="22">
        <v>0.72725588725166401</v>
      </c>
      <c r="G15" s="22">
        <v>0.72788973070692498</v>
      </c>
      <c r="H15" s="22">
        <v>0.71259981549894302</v>
      </c>
      <c r="I15" s="22">
        <v>0.53986312344118503</v>
      </c>
      <c r="J15" s="22">
        <v>0.39484521638923997</v>
      </c>
      <c r="K15" s="22">
        <v>0.36453771464653101</v>
      </c>
    </row>
    <row r="16" spans="2:12" x14ac:dyDescent="0.35">
      <c r="B16" s="16" t="s">
        <v>535</v>
      </c>
      <c r="C16" s="16"/>
      <c r="D16" s="16"/>
      <c r="E16" s="16"/>
      <c r="F16" s="16"/>
      <c r="G16" s="16"/>
      <c r="H16" s="16"/>
      <c r="I16" s="16"/>
      <c r="J16" s="16"/>
      <c r="K16" s="16"/>
    </row>
    <row r="17" spans="2:2" x14ac:dyDescent="0.35">
      <c r="B17" t="s">
        <v>51</v>
      </c>
    </row>
    <row r="18" spans="2:2" x14ac:dyDescent="0.35">
      <c r="B18" t="s">
        <v>52</v>
      </c>
    </row>
    <row r="22" spans="2:2" x14ac:dyDescent="0.35">
      <c r="B22" s="8" t="str">
        <f>HYPERLINK("#'Contents'!A1", "Return to Contents")</f>
        <v>Return to Contents</v>
      </c>
    </row>
  </sheetData>
  <mergeCells count="1">
    <mergeCell ref="D2:L2"/>
  </mergeCells>
  <pageMargins left="0.7" right="0.7" top="0.75" bottom="0.75" header="0.3" footer="0.3"/>
  <pageSetup paperSize="9" orientation="portrait" horizontalDpi="300" verticalDpi="300"/>
  <drawing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B2:Y22"/>
  <sheetViews>
    <sheetView showGridLines="0" topLeftCell="A7" workbookViewId="0">
      <pane xSplit="2" topLeftCell="C1" activePane="topRight" state="frozen"/>
      <selection pane="topRight" activeCell="B18" sqref="B18"/>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s>
  <sheetData>
    <row r="2" spans="2:25" ht="40" customHeight="1" x14ac:dyDescent="0.35">
      <c r="D2" s="30" t="s">
        <v>284</v>
      </c>
      <c r="E2" s="26"/>
      <c r="F2" s="26"/>
      <c r="G2" s="26"/>
      <c r="H2" s="26"/>
      <c r="I2" s="26"/>
      <c r="J2" s="26"/>
      <c r="K2" s="26"/>
      <c r="L2" s="26"/>
      <c r="M2" s="26"/>
      <c r="N2" s="26"/>
      <c r="O2" s="26"/>
      <c r="P2" s="26"/>
      <c r="Q2" s="26"/>
      <c r="R2" s="26"/>
      <c r="S2" s="26"/>
      <c r="T2" s="26"/>
      <c r="U2" s="26"/>
      <c r="V2" s="26"/>
      <c r="W2" s="26"/>
    </row>
    <row r="5" spans="2:25" ht="30" customHeight="1" x14ac:dyDescent="0.35">
      <c r="B5" s="15"/>
      <c r="C5" s="15"/>
      <c r="D5" s="29" t="s">
        <v>38</v>
      </c>
      <c r="E5" s="29"/>
      <c r="F5" s="15"/>
      <c r="G5" s="29" t="s">
        <v>39</v>
      </c>
      <c r="H5" s="29"/>
      <c r="I5" s="29"/>
      <c r="J5" s="29"/>
      <c r="K5" s="29"/>
      <c r="L5" s="29"/>
      <c r="M5" s="15"/>
      <c r="N5" s="29" t="s">
        <v>40</v>
      </c>
      <c r="O5" s="29"/>
      <c r="P5" s="29"/>
      <c r="Q5" s="29"/>
      <c r="R5" s="29"/>
      <c r="S5" s="29"/>
      <c r="T5" s="29"/>
      <c r="U5" s="29"/>
      <c r="V5" s="29"/>
      <c r="W5" s="15"/>
      <c r="X5" s="29" t="s">
        <v>41</v>
      </c>
      <c r="Y5" s="29"/>
    </row>
    <row r="6" spans="2:25" ht="29"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row>
    <row r="7" spans="2:25" ht="30" customHeight="1" x14ac:dyDescent="0.35">
      <c r="B7" s="10" t="s">
        <v>19</v>
      </c>
      <c r="C7" s="10">
        <v>1876</v>
      </c>
      <c r="D7" s="10">
        <v>916</v>
      </c>
      <c r="E7" s="10">
        <v>955</v>
      </c>
      <c r="F7" s="10"/>
      <c r="G7" s="10">
        <v>82</v>
      </c>
      <c r="H7" s="10">
        <v>441</v>
      </c>
      <c r="I7" s="10">
        <v>678</v>
      </c>
      <c r="J7" s="10">
        <v>511</v>
      </c>
      <c r="K7" s="10">
        <v>138</v>
      </c>
      <c r="L7" s="10">
        <v>26</v>
      </c>
      <c r="M7" s="10"/>
      <c r="N7" s="10">
        <v>56</v>
      </c>
      <c r="O7" s="10">
        <v>50</v>
      </c>
      <c r="P7" s="10">
        <v>277</v>
      </c>
      <c r="Q7" s="10">
        <v>183</v>
      </c>
      <c r="R7" s="10">
        <v>249</v>
      </c>
      <c r="S7" s="10">
        <v>213</v>
      </c>
      <c r="T7" s="10">
        <v>410</v>
      </c>
      <c r="U7" s="10">
        <v>329</v>
      </c>
      <c r="V7" s="10">
        <v>109</v>
      </c>
      <c r="W7" s="10"/>
      <c r="X7" s="10">
        <v>921</v>
      </c>
      <c r="Y7" s="10">
        <v>955</v>
      </c>
    </row>
    <row r="8" spans="2:25" ht="30" customHeight="1" x14ac:dyDescent="0.35">
      <c r="B8" s="11" t="s">
        <v>20</v>
      </c>
      <c r="C8" s="11">
        <v>1828</v>
      </c>
      <c r="D8" s="11">
        <v>932</v>
      </c>
      <c r="E8" s="11">
        <v>891</v>
      </c>
      <c r="F8" s="11"/>
      <c r="G8" s="11">
        <v>84</v>
      </c>
      <c r="H8" s="11">
        <v>413</v>
      </c>
      <c r="I8" s="11">
        <v>687</v>
      </c>
      <c r="J8" s="11">
        <v>488</v>
      </c>
      <c r="K8" s="11">
        <v>130</v>
      </c>
      <c r="L8" s="11">
        <v>27</v>
      </c>
      <c r="M8" s="11"/>
      <c r="N8" s="11">
        <v>57</v>
      </c>
      <c r="O8" s="11">
        <v>46</v>
      </c>
      <c r="P8" s="11">
        <v>282</v>
      </c>
      <c r="Q8" s="11">
        <v>186</v>
      </c>
      <c r="R8" s="11">
        <v>233</v>
      </c>
      <c r="S8" s="11">
        <v>217</v>
      </c>
      <c r="T8" s="11">
        <v>389</v>
      </c>
      <c r="U8" s="11">
        <v>306</v>
      </c>
      <c r="V8" s="11">
        <v>113</v>
      </c>
      <c r="W8" s="11"/>
      <c r="X8" s="11">
        <v>839</v>
      </c>
      <c r="Y8" s="11">
        <v>988</v>
      </c>
    </row>
    <row r="9" spans="2:25" x14ac:dyDescent="0.35">
      <c r="B9" s="18" t="s">
        <v>276</v>
      </c>
      <c r="C9" s="17">
        <v>0.42257651563259202</v>
      </c>
      <c r="D9" s="17">
        <v>0.38262760601606799</v>
      </c>
      <c r="E9" s="17">
        <v>0.46235349466657699</v>
      </c>
      <c r="F9" s="17"/>
      <c r="G9" s="17">
        <v>0.33020115354712198</v>
      </c>
      <c r="H9" s="17">
        <v>0.40292967245157102</v>
      </c>
      <c r="I9" s="17">
        <v>0.42289521576626399</v>
      </c>
      <c r="J9" s="17">
        <v>0.427679887309104</v>
      </c>
      <c r="K9" s="17">
        <v>0.49585093826260501</v>
      </c>
      <c r="L9" s="17">
        <v>0.55989981060553795</v>
      </c>
      <c r="M9" s="17"/>
      <c r="N9" s="17">
        <v>0.54527567649815101</v>
      </c>
      <c r="O9" s="17">
        <v>0.32729465680706299</v>
      </c>
      <c r="P9" s="17">
        <v>0.39142026807944902</v>
      </c>
      <c r="Q9" s="17">
        <v>0.302166943384791</v>
      </c>
      <c r="R9" s="17">
        <v>0.469860543577447</v>
      </c>
      <c r="S9" s="17">
        <v>0.420410712023494</v>
      </c>
      <c r="T9" s="17">
        <v>0.392391350300688</v>
      </c>
      <c r="U9" s="17">
        <v>0.53911117591593005</v>
      </c>
      <c r="V9" s="17">
        <v>0.36953089866073502</v>
      </c>
      <c r="W9" s="17"/>
      <c r="X9" s="17">
        <v>0.47342317456532801</v>
      </c>
      <c r="Y9" s="17">
        <v>0.37938825586734698</v>
      </c>
    </row>
    <row r="10" spans="2:25" x14ac:dyDescent="0.35">
      <c r="B10" s="18" t="s">
        <v>277</v>
      </c>
      <c r="C10" s="17">
        <v>0.37762143019522398</v>
      </c>
      <c r="D10" s="17">
        <v>0.40130477518777002</v>
      </c>
      <c r="E10" s="17">
        <v>0.35491546528951501</v>
      </c>
      <c r="F10" s="17"/>
      <c r="G10" s="17">
        <v>0.38909067795949698</v>
      </c>
      <c r="H10" s="17">
        <v>0.38815376712903998</v>
      </c>
      <c r="I10" s="17">
        <v>0.37840076757058999</v>
      </c>
      <c r="J10" s="17">
        <v>0.37870726803212801</v>
      </c>
      <c r="K10" s="17">
        <v>0.350867832865563</v>
      </c>
      <c r="L10" s="17">
        <v>0.26815672272207802</v>
      </c>
      <c r="M10" s="17"/>
      <c r="N10" s="17">
        <v>0.25474697822973902</v>
      </c>
      <c r="O10" s="17">
        <v>0.42614563204272099</v>
      </c>
      <c r="P10" s="17">
        <v>0.38920481357685999</v>
      </c>
      <c r="Q10" s="17">
        <v>0.33651220630678003</v>
      </c>
      <c r="R10" s="17">
        <v>0.39142110133732599</v>
      </c>
      <c r="S10" s="17">
        <v>0.384200916194051</v>
      </c>
      <c r="T10" s="17">
        <v>0.42451409512333999</v>
      </c>
      <c r="U10" s="17">
        <v>0.32810091046211098</v>
      </c>
      <c r="V10" s="17">
        <v>0.39048930190444697</v>
      </c>
      <c r="W10" s="17"/>
      <c r="X10" s="17">
        <v>0.36245403895797601</v>
      </c>
      <c r="Y10" s="17">
        <v>0.390504346132376</v>
      </c>
    </row>
    <row r="11" spans="2:25" ht="29" x14ac:dyDescent="0.35">
      <c r="B11" s="18" t="s">
        <v>278</v>
      </c>
      <c r="C11" s="17">
        <v>0.140595589352325</v>
      </c>
      <c r="D11" s="17">
        <v>0.15271797010843699</v>
      </c>
      <c r="E11" s="17">
        <v>0.12753405365913101</v>
      </c>
      <c r="F11" s="17"/>
      <c r="G11" s="17">
        <v>0.203246592701293</v>
      </c>
      <c r="H11" s="17">
        <v>0.14053947557538299</v>
      </c>
      <c r="I11" s="17">
        <v>0.142571844435194</v>
      </c>
      <c r="J11" s="17">
        <v>0.13604239552622899</v>
      </c>
      <c r="K11" s="17">
        <v>0.107196432436219</v>
      </c>
      <c r="L11" s="17">
        <v>0.13945091838048801</v>
      </c>
      <c r="M11" s="17"/>
      <c r="N11" s="17">
        <v>9.92658289043582E-2</v>
      </c>
      <c r="O11" s="17">
        <v>8.2405928455389105E-2</v>
      </c>
      <c r="P11" s="17">
        <v>0.137677173752314</v>
      </c>
      <c r="Q11" s="17">
        <v>0.221310629004147</v>
      </c>
      <c r="R11" s="17">
        <v>0.11209911687532199</v>
      </c>
      <c r="S11" s="17">
        <v>0.12906584961195899</v>
      </c>
      <c r="T11" s="17">
        <v>0.155815853643682</v>
      </c>
      <c r="U11" s="17">
        <v>0.114445244130707</v>
      </c>
      <c r="V11" s="17">
        <v>0.15891958421463101</v>
      </c>
      <c r="W11" s="17"/>
      <c r="X11" s="17">
        <v>0.11687633224591799</v>
      </c>
      <c r="Y11" s="17">
        <v>0.16074231007797399</v>
      </c>
    </row>
    <row r="12" spans="2:25" x14ac:dyDescent="0.35">
      <c r="B12" s="18" t="s">
        <v>279</v>
      </c>
      <c r="C12" s="17">
        <v>3.2497972707290802E-2</v>
      </c>
      <c r="D12" s="17">
        <v>3.9499913224355199E-2</v>
      </c>
      <c r="E12" s="17">
        <v>2.5354589036644799E-2</v>
      </c>
      <c r="F12" s="17"/>
      <c r="G12" s="17">
        <v>6.4380935703480802E-2</v>
      </c>
      <c r="H12" s="17">
        <v>3.8866320568386598E-2</v>
      </c>
      <c r="I12" s="17">
        <v>3.7092483438604697E-2</v>
      </c>
      <c r="J12" s="17">
        <v>1.9636753601986499E-2</v>
      </c>
      <c r="K12" s="17">
        <v>1.5637892769221399E-2</v>
      </c>
      <c r="L12" s="17">
        <v>3.2492548291896101E-2</v>
      </c>
      <c r="M12" s="17"/>
      <c r="N12" s="17">
        <v>5.0961648449315999E-2</v>
      </c>
      <c r="O12" s="17">
        <v>5.4763929970770897E-2</v>
      </c>
      <c r="P12" s="17">
        <v>4.0909510239860301E-2</v>
      </c>
      <c r="Q12" s="17">
        <v>8.7261679555992094E-2</v>
      </c>
      <c r="R12" s="17">
        <v>2.6619238209904601E-2</v>
      </c>
      <c r="S12" s="17">
        <v>2.63752493259043E-2</v>
      </c>
      <c r="T12" s="17">
        <v>1.8068264481529199E-2</v>
      </c>
      <c r="U12" s="17">
        <v>8.40875950314947E-3</v>
      </c>
      <c r="V12" s="17">
        <v>4.19484346477461E-2</v>
      </c>
      <c r="W12" s="17"/>
      <c r="X12" s="17">
        <v>2.8355275643522901E-2</v>
      </c>
      <c r="Y12" s="17">
        <v>3.6016706891092598E-2</v>
      </c>
    </row>
    <row r="13" spans="2:25" x14ac:dyDescent="0.35">
      <c r="B13" s="18" t="s">
        <v>280</v>
      </c>
      <c r="C13" s="17">
        <v>1.1091347469718999E-2</v>
      </c>
      <c r="D13" s="17">
        <v>1.13233591475187E-2</v>
      </c>
      <c r="E13" s="17">
        <v>1.09091095497549E-2</v>
      </c>
      <c r="F13" s="17"/>
      <c r="G13" s="17">
        <v>1.3080640088606999E-2</v>
      </c>
      <c r="H13" s="17">
        <v>1.41204300815259E-2</v>
      </c>
      <c r="I13" s="17">
        <v>5.9408135469536704E-3</v>
      </c>
      <c r="J13" s="17">
        <v>1.5190532322070001E-2</v>
      </c>
      <c r="K13" s="17">
        <v>1.42749846729104E-2</v>
      </c>
      <c r="L13" s="17">
        <v>0</v>
      </c>
      <c r="M13" s="17"/>
      <c r="N13" s="17">
        <v>3.4860253027704499E-2</v>
      </c>
      <c r="O13" s="17">
        <v>1.5418636836969901E-2</v>
      </c>
      <c r="P13" s="17">
        <v>7.7570884985854096E-3</v>
      </c>
      <c r="Q13" s="17">
        <v>2.68291454763585E-2</v>
      </c>
      <c r="R13" s="17">
        <v>0</v>
      </c>
      <c r="S13" s="17">
        <v>1.84952140001741E-2</v>
      </c>
      <c r="T13" s="17">
        <v>7.2289912902455296E-3</v>
      </c>
      <c r="U13" s="17">
        <v>2.5590035981818801E-3</v>
      </c>
      <c r="V13" s="17">
        <v>2.4883555712390999E-2</v>
      </c>
      <c r="W13" s="17"/>
      <c r="X13" s="17">
        <v>8.7382470327936005E-3</v>
      </c>
      <c r="Y13" s="17">
        <v>1.30900296851638E-2</v>
      </c>
    </row>
    <row r="14" spans="2:25" x14ac:dyDescent="0.35">
      <c r="B14" s="18" t="s">
        <v>162</v>
      </c>
      <c r="C14" s="17">
        <v>1.5617144642848401E-2</v>
      </c>
      <c r="D14" s="17">
        <v>1.2526376315851399E-2</v>
      </c>
      <c r="E14" s="17">
        <v>1.8933287798377101E-2</v>
      </c>
      <c r="F14" s="17"/>
      <c r="G14" s="17">
        <v>0</v>
      </c>
      <c r="H14" s="17">
        <v>1.53903341940934E-2</v>
      </c>
      <c r="I14" s="17">
        <v>1.3098875242393801E-2</v>
      </c>
      <c r="J14" s="17">
        <v>2.2743163208482801E-2</v>
      </c>
      <c r="K14" s="17">
        <v>1.6171918993481301E-2</v>
      </c>
      <c r="L14" s="17">
        <v>0</v>
      </c>
      <c r="M14" s="17"/>
      <c r="N14" s="17">
        <v>1.48896148907315E-2</v>
      </c>
      <c r="O14" s="17">
        <v>9.3971215887085693E-2</v>
      </c>
      <c r="P14" s="17">
        <v>3.3031145852930703E-2</v>
      </c>
      <c r="Q14" s="17">
        <v>2.59193962719311E-2</v>
      </c>
      <c r="R14" s="17">
        <v>0</v>
      </c>
      <c r="S14" s="17">
        <v>2.1452058844417699E-2</v>
      </c>
      <c r="T14" s="17">
        <v>1.98144516051561E-3</v>
      </c>
      <c r="U14" s="17">
        <v>7.3749063899203396E-3</v>
      </c>
      <c r="V14" s="17">
        <v>1.42282248600495E-2</v>
      </c>
      <c r="W14" s="17"/>
      <c r="X14" s="17">
        <v>1.0152931554461999E-2</v>
      </c>
      <c r="Y14" s="17">
        <v>2.0258351346047501E-2</v>
      </c>
    </row>
    <row r="15" spans="2:25" x14ac:dyDescent="0.35">
      <c r="B15" s="18" t="s">
        <v>281</v>
      </c>
      <c r="C15" s="21">
        <v>0.800197945827817</v>
      </c>
      <c r="D15" s="21">
        <v>0.78393238120383801</v>
      </c>
      <c r="E15" s="21">
        <v>0.81726895995609194</v>
      </c>
      <c r="F15" s="21"/>
      <c r="G15" s="21">
        <v>0.71929183150661902</v>
      </c>
      <c r="H15" s="21">
        <v>0.791083439580611</v>
      </c>
      <c r="I15" s="21">
        <v>0.80129598333685403</v>
      </c>
      <c r="J15" s="21">
        <v>0.80638715534123095</v>
      </c>
      <c r="K15" s="21">
        <v>0.84671877112816796</v>
      </c>
      <c r="L15" s="21">
        <v>0.82805653332761597</v>
      </c>
      <c r="M15" s="21"/>
      <c r="N15" s="21">
        <v>0.80002265472789003</v>
      </c>
      <c r="O15" s="21">
        <v>0.75344028884978398</v>
      </c>
      <c r="P15" s="21">
        <v>0.78062508165630895</v>
      </c>
      <c r="Q15" s="21">
        <v>0.63867914969157102</v>
      </c>
      <c r="R15" s="21">
        <v>0.86128164491477299</v>
      </c>
      <c r="S15" s="21">
        <v>0.80461162821754595</v>
      </c>
      <c r="T15" s="21">
        <v>0.81690544542402799</v>
      </c>
      <c r="U15" s="21">
        <v>0.86721208637804104</v>
      </c>
      <c r="V15" s="21">
        <v>0.76002020056518305</v>
      </c>
      <c r="W15" s="21"/>
      <c r="X15" s="21">
        <v>0.83587721352330302</v>
      </c>
      <c r="Y15" s="21">
        <v>0.76989260199972198</v>
      </c>
    </row>
    <row r="16" spans="2:25" x14ac:dyDescent="0.35">
      <c r="B16" s="18" t="s">
        <v>282</v>
      </c>
      <c r="C16" s="21">
        <v>4.3589320177009797E-2</v>
      </c>
      <c r="D16" s="21">
        <v>5.0823272371873798E-2</v>
      </c>
      <c r="E16" s="21">
        <v>3.6263698586399697E-2</v>
      </c>
      <c r="F16" s="21"/>
      <c r="G16" s="21">
        <v>7.7461575792087803E-2</v>
      </c>
      <c r="H16" s="21">
        <v>5.2986750649912498E-2</v>
      </c>
      <c r="I16" s="21">
        <v>4.3033296985558397E-2</v>
      </c>
      <c r="J16" s="21">
        <v>3.4827285924056497E-2</v>
      </c>
      <c r="K16" s="21">
        <v>2.99128774421317E-2</v>
      </c>
      <c r="L16" s="21">
        <v>3.2492548291896101E-2</v>
      </c>
      <c r="M16" s="21"/>
      <c r="N16" s="21">
        <v>8.5821901477020499E-2</v>
      </c>
      <c r="O16" s="21">
        <v>7.0182566807740807E-2</v>
      </c>
      <c r="P16" s="21">
        <v>4.8666598738445699E-2</v>
      </c>
      <c r="Q16" s="21">
        <v>0.114090825032351</v>
      </c>
      <c r="R16" s="21">
        <v>2.6619238209904601E-2</v>
      </c>
      <c r="S16" s="21">
        <v>4.4870463326078303E-2</v>
      </c>
      <c r="T16" s="21">
        <v>2.5297255771774701E-2</v>
      </c>
      <c r="U16" s="21">
        <v>1.0967763101331299E-2</v>
      </c>
      <c r="V16" s="21">
        <v>6.6831990360137206E-2</v>
      </c>
      <c r="W16" s="21"/>
      <c r="X16" s="21">
        <v>3.70935226763165E-2</v>
      </c>
      <c r="Y16" s="21">
        <v>4.9106736576256402E-2</v>
      </c>
    </row>
    <row r="17" spans="2:25" x14ac:dyDescent="0.35">
      <c r="B17" s="18" t="s">
        <v>92</v>
      </c>
      <c r="C17" s="22">
        <v>0.756608625650807</v>
      </c>
      <c r="D17" s="22">
        <v>0.73310910883196401</v>
      </c>
      <c r="E17" s="22">
        <v>0.78100526136969295</v>
      </c>
      <c r="F17" s="22"/>
      <c r="G17" s="22">
        <v>0.64183025571453201</v>
      </c>
      <c r="H17" s="22">
        <v>0.73809668893069902</v>
      </c>
      <c r="I17" s="22">
        <v>0.75826268635129501</v>
      </c>
      <c r="J17" s="22">
        <v>0.77155986941717503</v>
      </c>
      <c r="K17" s="22">
        <v>0.81680589368603596</v>
      </c>
      <c r="L17" s="22">
        <v>0.79556398503572001</v>
      </c>
      <c r="M17" s="22"/>
      <c r="N17" s="22">
        <v>0.71420075325086896</v>
      </c>
      <c r="O17" s="22">
        <v>0.68325772204204405</v>
      </c>
      <c r="P17" s="22">
        <v>0.73195848291786303</v>
      </c>
      <c r="Q17" s="22">
        <v>0.52458832465922001</v>
      </c>
      <c r="R17" s="22">
        <v>0.83466240670486902</v>
      </c>
      <c r="S17" s="22">
        <v>0.75974116489146704</v>
      </c>
      <c r="T17" s="22">
        <v>0.79160818965225299</v>
      </c>
      <c r="U17" s="22">
        <v>0.85624432327670996</v>
      </c>
      <c r="V17" s="22">
        <v>0.69318821020504595</v>
      </c>
      <c r="W17" s="22"/>
      <c r="X17" s="22">
        <v>0.79878369084698697</v>
      </c>
      <c r="Y17" s="22">
        <v>0.72078586542346601</v>
      </c>
    </row>
    <row r="18" spans="2:25" x14ac:dyDescent="0.35">
      <c r="B18" s="16" t="s">
        <v>535</v>
      </c>
    </row>
    <row r="19" spans="2:25" x14ac:dyDescent="0.35">
      <c r="B19" t="s">
        <v>51</v>
      </c>
    </row>
    <row r="20" spans="2:25" x14ac:dyDescent="0.35">
      <c r="B20" t="s">
        <v>52</v>
      </c>
    </row>
    <row r="22" spans="2:25" x14ac:dyDescent="0.35">
      <c r="B22" s="8" t="str">
        <f>HYPERLINK("#'Contents'!A1", "Return to Contents")</f>
        <v>Return to Contents</v>
      </c>
    </row>
  </sheetData>
  <mergeCells count="5">
    <mergeCell ref="D5:E5"/>
    <mergeCell ref="G5:L5"/>
    <mergeCell ref="N5:V5"/>
    <mergeCell ref="X5:Y5"/>
    <mergeCell ref="D2:W2"/>
  </mergeCells>
  <pageMargins left="0.7" right="0.7" top="0.75" bottom="0.75" header="0.3" footer="0.3"/>
  <pageSetup paperSize="9" orientation="portrait" horizontalDpi="300" verticalDpi="300"/>
  <drawing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B2:Y22"/>
  <sheetViews>
    <sheetView showGridLines="0" topLeftCell="A7" workbookViewId="0">
      <pane xSplit="2" topLeftCell="C1" activePane="topRight" state="frozen"/>
      <selection pane="topRight" activeCell="B18" sqref="B18"/>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s>
  <sheetData>
    <row r="2" spans="2:25" ht="40" customHeight="1" x14ac:dyDescent="0.35">
      <c r="D2" s="30" t="s">
        <v>285</v>
      </c>
      <c r="E2" s="26"/>
      <c r="F2" s="26"/>
      <c r="G2" s="26"/>
      <c r="H2" s="26"/>
      <c r="I2" s="26"/>
      <c r="J2" s="26"/>
      <c r="K2" s="26"/>
      <c r="L2" s="26"/>
      <c r="M2" s="26"/>
      <c r="N2" s="26"/>
      <c r="O2" s="26"/>
      <c r="P2" s="26"/>
      <c r="Q2" s="26"/>
      <c r="R2" s="26"/>
      <c r="S2" s="26"/>
      <c r="T2" s="26"/>
      <c r="U2" s="26"/>
      <c r="V2" s="26"/>
      <c r="W2" s="26"/>
    </row>
    <row r="5" spans="2:25" ht="30" customHeight="1" x14ac:dyDescent="0.35">
      <c r="B5" s="15"/>
      <c r="C5" s="15"/>
      <c r="D5" s="29" t="s">
        <v>38</v>
      </c>
      <c r="E5" s="29"/>
      <c r="F5" s="15"/>
      <c r="G5" s="29" t="s">
        <v>39</v>
      </c>
      <c r="H5" s="29"/>
      <c r="I5" s="29"/>
      <c r="J5" s="29"/>
      <c r="K5" s="29"/>
      <c r="L5" s="29"/>
      <c r="M5" s="15"/>
      <c r="N5" s="29" t="s">
        <v>40</v>
      </c>
      <c r="O5" s="29"/>
      <c r="P5" s="29"/>
      <c r="Q5" s="29"/>
      <c r="R5" s="29"/>
      <c r="S5" s="29"/>
      <c r="T5" s="29"/>
      <c r="U5" s="29"/>
      <c r="V5" s="29"/>
      <c r="W5" s="15"/>
      <c r="X5" s="29" t="s">
        <v>41</v>
      </c>
      <c r="Y5" s="29"/>
    </row>
    <row r="6" spans="2:25" ht="29"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row>
    <row r="7" spans="2:25" ht="30" customHeight="1" x14ac:dyDescent="0.35">
      <c r="B7" s="10" t="s">
        <v>19</v>
      </c>
      <c r="C7" s="10">
        <v>1875</v>
      </c>
      <c r="D7" s="10">
        <v>915</v>
      </c>
      <c r="E7" s="10">
        <v>955</v>
      </c>
      <c r="F7" s="10"/>
      <c r="G7" s="10">
        <v>81</v>
      </c>
      <c r="H7" s="10">
        <v>441</v>
      </c>
      <c r="I7" s="10">
        <v>678</v>
      </c>
      <c r="J7" s="10">
        <v>511</v>
      </c>
      <c r="K7" s="10">
        <v>138</v>
      </c>
      <c r="L7" s="10">
        <v>26</v>
      </c>
      <c r="M7" s="10"/>
      <c r="N7" s="10">
        <v>56</v>
      </c>
      <c r="O7" s="10">
        <v>50</v>
      </c>
      <c r="P7" s="10">
        <v>277</v>
      </c>
      <c r="Q7" s="10">
        <v>183</v>
      </c>
      <c r="R7" s="10">
        <v>249</v>
      </c>
      <c r="S7" s="10">
        <v>212</v>
      </c>
      <c r="T7" s="10">
        <v>410</v>
      </c>
      <c r="U7" s="10">
        <v>329</v>
      </c>
      <c r="V7" s="10">
        <v>109</v>
      </c>
      <c r="W7" s="10"/>
      <c r="X7" s="10">
        <v>920</v>
      </c>
      <c r="Y7" s="10">
        <v>955</v>
      </c>
    </row>
    <row r="8" spans="2:25" ht="30" customHeight="1" x14ac:dyDescent="0.35">
      <c r="B8" s="11" t="s">
        <v>20</v>
      </c>
      <c r="C8" s="11">
        <v>1826</v>
      </c>
      <c r="D8" s="11">
        <v>930</v>
      </c>
      <c r="E8" s="11">
        <v>891</v>
      </c>
      <c r="F8" s="11"/>
      <c r="G8" s="11">
        <v>82</v>
      </c>
      <c r="H8" s="11">
        <v>413</v>
      </c>
      <c r="I8" s="11">
        <v>687</v>
      </c>
      <c r="J8" s="11">
        <v>488</v>
      </c>
      <c r="K8" s="11">
        <v>130</v>
      </c>
      <c r="L8" s="11">
        <v>27</v>
      </c>
      <c r="M8" s="11"/>
      <c r="N8" s="11">
        <v>57</v>
      </c>
      <c r="O8" s="11">
        <v>46</v>
      </c>
      <c r="P8" s="11">
        <v>282</v>
      </c>
      <c r="Q8" s="11">
        <v>186</v>
      </c>
      <c r="R8" s="11">
        <v>233</v>
      </c>
      <c r="S8" s="11">
        <v>215</v>
      </c>
      <c r="T8" s="11">
        <v>389</v>
      </c>
      <c r="U8" s="11">
        <v>306</v>
      </c>
      <c r="V8" s="11">
        <v>113</v>
      </c>
      <c r="W8" s="11"/>
      <c r="X8" s="11">
        <v>837</v>
      </c>
      <c r="Y8" s="11">
        <v>988</v>
      </c>
    </row>
    <row r="9" spans="2:25" x14ac:dyDescent="0.35">
      <c r="B9" s="18" t="s">
        <v>276</v>
      </c>
      <c r="C9" s="17">
        <v>0.37667431404573398</v>
      </c>
      <c r="D9" s="17">
        <v>0.35144484886875299</v>
      </c>
      <c r="E9" s="17">
        <v>0.40284364907503201</v>
      </c>
      <c r="F9" s="17"/>
      <c r="G9" s="17">
        <v>0.30645869978642298</v>
      </c>
      <c r="H9" s="17">
        <v>0.33934799468825499</v>
      </c>
      <c r="I9" s="17">
        <v>0.39857146110927699</v>
      </c>
      <c r="J9" s="17">
        <v>0.37603575532686201</v>
      </c>
      <c r="K9" s="17">
        <v>0.43613511290524398</v>
      </c>
      <c r="L9" s="17">
        <v>0.328922489703945</v>
      </c>
      <c r="M9" s="17"/>
      <c r="N9" s="17">
        <v>0.27858943952130499</v>
      </c>
      <c r="O9" s="17">
        <v>0.23964616692430199</v>
      </c>
      <c r="P9" s="17">
        <v>0.35078135589708598</v>
      </c>
      <c r="Q9" s="17">
        <v>0.26049152154779898</v>
      </c>
      <c r="R9" s="17">
        <v>0.33760309684284301</v>
      </c>
      <c r="S9" s="17">
        <v>0.37851859073376398</v>
      </c>
      <c r="T9" s="17">
        <v>0.34519192019405398</v>
      </c>
      <c r="U9" s="17">
        <v>0.59969292219401305</v>
      </c>
      <c r="V9" s="17">
        <v>0.31872862006834002</v>
      </c>
      <c r="W9" s="17"/>
      <c r="X9" s="17">
        <v>0.397538992818669</v>
      </c>
      <c r="Y9" s="17">
        <v>0.35899523796952698</v>
      </c>
    </row>
    <row r="10" spans="2:25" x14ac:dyDescent="0.35">
      <c r="B10" s="18" t="s">
        <v>277</v>
      </c>
      <c r="C10" s="17">
        <v>0.39701414453459399</v>
      </c>
      <c r="D10" s="17">
        <v>0.40298538725720401</v>
      </c>
      <c r="E10" s="17">
        <v>0.39085627698284398</v>
      </c>
      <c r="F10" s="17"/>
      <c r="G10" s="17">
        <v>0.41613456046706998</v>
      </c>
      <c r="H10" s="17">
        <v>0.42276527955933901</v>
      </c>
      <c r="I10" s="17">
        <v>0.38022233634004399</v>
      </c>
      <c r="J10" s="17">
        <v>0.404533849375247</v>
      </c>
      <c r="K10" s="17">
        <v>0.34603108934989002</v>
      </c>
      <c r="L10" s="17">
        <v>0.48252913064265901</v>
      </c>
      <c r="M10" s="17"/>
      <c r="N10" s="17">
        <v>0.339280059396255</v>
      </c>
      <c r="O10" s="17">
        <v>0.30601487060948801</v>
      </c>
      <c r="P10" s="17">
        <v>0.42972482680249502</v>
      </c>
      <c r="Q10" s="17">
        <v>0.39951765688388902</v>
      </c>
      <c r="R10" s="17">
        <v>0.45730012391283298</v>
      </c>
      <c r="S10" s="17">
        <v>0.41126335568481998</v>
      </c>
      <c r="T10" s="17">
        <v>0.44571879955124799</v>
      </c>
      <c r="U10" s="17">
        <v>0.29394682628147401</v>
      </c>
      <c r="V10" s="17">
        <v>0.33691158389486398</v>
      </c>
      <c r="W10" s="17"/>
      <c r="X10" s="17">
        <v>0.40053795990369301</v>
      </c>
      <c r="Y10" s="17">
        <v>0.39402834251641899</v>
      </c>
    </row>
    <row r="11" spans="2:25" ht="29" x14ac:dyDescent="0.35">
      <c r="B11" s="18" t="s">
        <v>278</v>
      </c>
      <c r="C11" s="17">
        <v>0.15787380560679801</v>
      </c>
      <c r="D11" s="17">
        <v>0.17567932501441599</v>
      </c>
      <c r="E11" s="17">
        <v>0.14015844425245499</v>
      </c>
      <c r="F11" s="17"/>
      <c r="G11" s="17">
        <v>0.19758781749054499</v>
      </c>
      <c r="H11" s="17">
        <v>0.16543146729810199</v>
      </c>
      <c r="I11" s="17">
        <v>0.15411476625581699</v>
      </c>
      <c r="J11" s="17">
        <v>0.153720559884054</v>
      </c>
      <c r="K11" s="17">
        <v>0.156232693631259</v>
      </c>
      <c r="L11" s="17">
        <v>9.9391798054527206E-2</v>
      </c>
      <c r="M11" s="17"/>
      <c r="N11" s="17">
        <v>0.31580080349503398</v>
      </c>
      <c r="O11" s="17">
        <v>0.16627862353744399</v>
      </c>
      <c r="P11" s="17">
        <v>0.133465941786688</v>
      </c>
      <c r="Q11" s="17">
        <v>0.23583769176009201</v>
      </c>
      <c r="R11" s="17">
        <v>0.14882037755309599</v>
      </c>
      <c r="S11" s="17">
        <v>0.13707990524470201</v>
      </c>
      <c r="T11" s="17">
        <v>0.15846626204963199</v>
      </c>
      <c r="U11" s="17">
        <v>8.3550851927443506E-2</v>
      </c>
      <c r="V11" s="17">
        <v>0.26501182390155797</v>
      </c>
      <c r="W11" s="17"/>
      <c r="X11" s="17">
        <v>0.13966900912163999</v>
      </c>
      <c r="Y11" s="17">
        <v>0.173299108124777</v>
      </c>
    </row>
    <row r="12" spans="2:25" x14ac:dyDescent="0.35">
      <c r="B12" s="18" t="s">
        <v>279</v>
      </c>
      <c r="C12" s="17">
        <v>3.3752843371374498E-2</v>
      </c>
      <c r="D12" s="17">
        <v>3.8312976713418503E-2</v>
      </c>
      <c r="E12" s="17">
        <v>2.9179473980253601E-2</v>
      </c>
      <c r="F12" s="17"/>
      <c r="G12" s="17">
        <v>4.6751945092671499E-2</v>
      </c>
      <c r="H12" s="17">
        <v>5.09532685948293E-2</v>
      </c>
      <c r="I12" s="17">
        <v>2.5523230473339199E-2</v>
      </c>
      <c r="J12" s="17">
        <v>3.4855393039307202E-2</v>
      </c>
      <c r="K12" s="17">
        <v>1.7079592965308001E-2</v>
      </c>
      <c r="L12" s="17">
        <v>0</v>
      </c>
      <c r="M12" s="17"/>
      <c r="N12" s="17">
        <v>1.80435809715562E-2</v>
      </c>
      <c r="O12" s="17">
        <v>9.4039877751204606E-2</v>
      </c>
      <c r="P12" s="17">
        <v>3.2889723213199801E-2</v>
      </c>
      <c r="Q12" s="17">
        <v>7.8544239982957204E-2</v>
      </c>
      <c r="R12" s="17">
        <v>3.3587618886993797E-2</v>
      </c>
      <c r="S12" s="17">
        <v>3.0850141238010699E-2</v>
      </c>
      <c r="T12" s="17">
        <v>2.66349806512923E-2</v>
      </c>
      <c r="U12" s="17">
        <v>9.59821417438818E-3</v>
      </c>
      <c r="V12" s="17">
        <v>4.1721860936277701E-2</v>
      </c>
      <c r="W12" s="17"/>
      <c r="X12" s="17">
        <v>3.6319213848408298E-2</v>
      </c>
      <c r="Y12" s="17">
        <v>3.1578304314388503E-2</v>
      </c>
    </row>
    <row r="13" spans="2:25" x14ac:dyDescent="0.35">
      <c r="B13" s="18" t="s">
        <v>280</v>
      </c>
      <c r="C13" s="17">
        <v>1.2679727957289499E-2</v>
      </c>
      <c r="D13" s="17">
        <v>1.4158565426089099E-2</v>
      </c>
      <c r="E13" s="17">
        <v>1.1206026663255399E-2</v>
      </c>
      <c r="F13" s="17"/>
      <c r="G13" s="17">
        <v>1.0186594600107001E-2</v>
      </c>
      <c r="H13" s="17">
        <v>7.92591291024425E-3</v>
      </c>
      <c r="I13" s="17">
        <v>1.55292477353126E-2</v>
      </c>
      <c r="J13" s="17">
        <v>1.1621785272604501E-2</v>
      </c>
      <c r="K13" s="17">
        <v>2.0886218814549998E-2</v>
      </c>
      <c r="L13" s="17">
        <v>0</v>
      </c>
      <c r="M13" s="17"/>
      <c r="N13" s="17">
        <v>3.3396501725117503E-2</v>
      </c>
      <c r="O13" s="17">
        <v>5.0943618985553302E-2</v>
      </c>
      <c r="P13" s="17">
        <v>1.6972939368202399E-2</v>
      </c>
      <c r="Q13" s="17">
        <v>1.00473837759228E-2</v>
      </c>
      <c r="R13" s="17">
        <v>3.5911470534395E-3</v>
      </c>
      <c r="S13" s="17">
        <v>1.58971356959236E-2</v>
      </c>
      <c r="T13" s="17">
        <v>1.43597690166703E-2</v>
      </c>
      <c r="U13" s="17">
        <v>2.5590035981818801E-3</v>
      </c>
      <c r="V13" s="17">
        <v>1.4598168264304399E-2</v>
      </c>
      <c r="W13" s="17"/>
      <c r="X13" s="17">
        <v>9.8192477446060397E-3</v>
      </c>
      <c r="Y13" s="17">
        <v>1.51034723074837E-2</v>
      </c>
    </row>
    <row r="14" spans="2:25" x14ac:dyDescent="0.35">
      <c r="B14" s="18" t="s">
        <v>162</v>
      </c>
      <c r="C14" s="17">
        <v>2.2005164484209899E-2</v>
      </c>
      <c r="D14" s="17">
        <v>1.7418896720120199E-2</v>
      </c>
      <c r="E14" s="17">
        <v>2.57561290461602E-2</v>
      </c>
      <c r="F14" s="17"/>
      <c r="G14" s="17">
        <v>2.28803825631828E-2</v>
      </c>
      <c r="H14" s="17">
        <v>1.3576076949231001E-2</v>
      </c>
      <c r="I14" s="17">
        <v>2.6038958086209599E-2</v>
      </c>
      <c r="J14" s="17">
        <v>1.9232657101925E-2</v>
      </c>
      <c r="K14" s="17">
        <v>2.3635292333749398E-2</v>
      </c>
      <c r="L14" s="17">
        <v>8.9156581598868898E-2</v>
      </c>
      <c r="M14" s="17"/>
      <c r="N14" s="17">
        <v>1.48896148907315E-2</v>
      </c>
      <c r="O14" s="17">
        <v>0.143076842192008</v>
      </c>
      <c r="P14" s="17">
        <v>3.61652129323295E-2</v>
      </c>
      <c r="Q14" s="17">
        <v>1.5561506049339899E-2</v>
      </c>
      <c r="R14" s="17">
        <v>1.90976357507943E-2</v>
      </c>
      <c r="S14" s="17">
        <v>2.6390871402779799E-2</v>
      </c>
      <c r="T14" s="17">
        <v>9.6282685371036208E-3</v>
      </c>
      <c r="U14" s="17">
        <v>1.06521818244995E-2</v>
      </c>
      <c r="V14" s="17">
        <v>2.3027942934656001E-2</v>
      </c>
      <c r="W14" s="17"/>
      <c r="X14" s="17">
        <v>1.6115576562984499E-2</v>
      </c>
      <c r="Y14" s="17">
        <v>2.6995534767404499E-2</v>
      </c>
    </row>
    <row r="15" spans="2:25" x14ac:dyDescent="0.35">
      <c r="B15" s="18" t="s">
        <v>281</v>
      </c>
      <c r="C15" s="21">
        <v>0.77368845858032897</v>
      </c>
      <c r="D15" s="21">
        <v>0.75443023612595606</v>
      </c>
      <c r="E15" s="21">
        <v>0.79369992605787598</v>
      </c>
      <c r="F15" s="21"/>
      <c r="G15" s="21">
        <v>0.72259326025349302</v>
      </c>
      <c r="H15" s="21">
        <v>0.76211327424759401</v>
      </c>
      <c r="I15" s="21">
        <v>0.77879379744932098</v>
      </c>
      <c r="J15" s="21">
        <v>0.78056960470210901</v>
      </c>
      <c r="K15" s="21">
        <v>0.782166202255134</v>
      </c>
      <c r="L15" s="21">
        <v>0.81145162034660401</v>
      </c>
      <c r="M15" s="21"/>
      <c r="N15" s="21">
        <v>0.61786949891756104</v>
      </c>
      <c r="O15" s="21">
        <v>0.54566103753379003</v>
      </c>
      <c r="P15" s="21">
        <v>0.78050618269958005</v>
      </c>
      <c r="Q15" s="21">
        <v>0.66000917843168805</v>
      </c>
      <c r="R15" s="21">
        <v>0.79490322075567599</v>
      </c>
      <c r="S15" s="21">
        <v>0.78978194641858401</v>
      </c>
      <c r="T15" s="21">
        <v>0.79091071974530203</v>
      </c>
      <c r="U15" s="21">
        <v>0.89363974847548699</v>
      </c>
      <c r="V15" s="21">
        <v>0.65564020396320399</v>
      </c>
      <c r="W15" s="21"/>
      <c r="X15" s="21">
        <v>0.79807695272236101</v>
      </c>
      <c r="Y15" s="21">
        <v>0.75302358048594598</v>
      </c>
    </row>
    <row r="16" spans="2:25" x14ac:dyDescent="0.35">
      <c r="B16" s="18" t="s">
        <v>282</v>
      </c>
      <c r="C16" s="21">
        <v>4.6432571328663998E-2</v>
      </c>
      <c r="D16" s="21">
        <v>5.2471542139507603E-2</v>
      </c>
      <c r="E16" s="21">
        <v>4.0385500643509001E-2</v>
      </c>
      <c r="F16" s="21"/>
      <c r="G16" s="21">
        <v>5.69385396927784E-2</v>
      </c>
      <c r="H16" s="21">
        <v>5.88791815050735E-2</v>
      </c>
      <c r="I16" s="21">
        <v>4.1052478208651801E-2</v>
      </c>
      <c r="J16" s="21">
        <v>4.6477178311911699E-2</v>
      </c>
      <c r="K16" s="21">
        <v>3.7965811779858E-2</v>
      </c>
      <c r="L16" s="21">
        <v>0</v>
      </c>
      <c r="M16" s="21"/>
      <c r="N16" s="21">
        <v>5.1440082696673703E-2</v>
      </c>
      <c r="O16" s="21">
        <v>0.14498349673675801</v>
      </c>
      <c r="P16" s="21">
        <v>4.9862662581402199E-2</v>
      </c>
      <c r="Q16" s="21">
        <v>8.8591623758879898E-2</v>
      </c>
      <c r="R16" s="21">
        <v>3.7178765940433303E-2</v>
      </c>
      <c r="S16" s="21">
        <v>4.6747276933934302E-2</v>
      </c>
      <c r="T16" s="21">
        <v>4.0994749667962502E-2</v>
      </c>
      <c r="U16" s="21">
        <v>1.21572177725701E-2</v>
      </c>
      <c r="V16" s="21">
        <v>5.63200292005821E-2</v>
      </c>
      <c r="W16" s="21"/>
      <c r="X16" s="21">
        <v>4.61384615930144E-2</v>
      </c>
      <c r="Y16" s="21">
        <v>4.6681776621872201E-2</v>
      </c>
    </row>
    <row r="17" spans="2:25" x14ac:dyDescent="0.35">
      <c r="B17" s="18" t="s">
        <v>92</v>
      </c>
      <c r="C17" s="22">
        <v>0.72725588725166401</v>
      </c>
      <c r="D17" s="22">
        <v>0.70195869398644894</v>
      </c>
      <c r="E17" s="22">
        <v>0.75331442541436699</v>
      </c>
      <c r="F17" s="22"/>
      <c r="G17" s="22">
        <v>0.66565472056071495</v>
      </c>
      <c r="H17" s="22">
        <v>0.70323409274252002</v>
      </c>
      <c r="I17" s="22">
        <v>0.73774131924066999</v>
      </c>
      <c r="J17" s="22">
        <v>0.73409242639019701</v>
      </c>
      <c r="K17" s="22">
        <v>0.74420039047527597</v>
      </c>
      <c r="L17" s="22">
        <v>0.81145162034660401</v>
      </c>
      <c r="M17" s="22"/>
      <c r="N17" s="22">
        <v>0.56642941622088705</v>
      </c>
      <c r="O17" s="22">
        <v>0.40067754079703199</v>
      </c>
      <c r="P17" s="22">
        <v>0.73064352011817801</v>
      </c>
      <c r="Q17" s="22">
        <v>0.57141755467280797</v>
      </c>
      <c r="R17" s="22">
        <v>0.75772445481524298</v>
      </c>
      <c r="S17" s="22">
        <v>0.74303466948464902</v>
      </c>
      <c r="T17" s="22">
        <v>0.74991597007733901</v>
      </c>
      <c r="U17" s="22">
        <v>0.88148253070291704</v>
      </c>
      <c r="V17" s="22">
        <v>0.599320174762622</v>
      </c>
      <c r="W17" s="22"/>
      <c r="X17" s="22">
        <v>0.75193849112934696</v>
      </c>
      <c r="Y17" s="22">
        <v>0.70634180386407397</v>
      </c>
    </row>
    <row r="18" spans="2:25" x14ac:dyDescent="0.35">
      <c r="B18" s="16" t="s">
        <v>535</v>
      </c>
    </row>
    <row r="19" spans="2:25" x14ac:dyDescent="0.35">
      <c r="B19" t="s">
        <v>51</v>
      </c>
    </row>
    <row r="20" spans="2:25" x14ac:dyDescent="0.35">
      <c r="B20" t="s">
        <v>52</v>
      </c>
    </row>
    <row r="22" spans="2:25" x14ac:dyDescent="0.35">
      <c r="B22" s="8" t="str">
        <f>HYPERLINK("#'Contents'!A1", "Return to Contents")</f>
        <v>Return to Contents</v>
      </c>
    </row>
  </sheetData>
  <mergeCells count="5">
    <mergeCell ref="D5:E5"/>
    <mergeCell ref="G5:L5"/>
    <mergeCell ref="N5:V5"/>
    <mergeCell ref="X5:Y5"/>
    <mergeCell ref="D2:W2"/>
  </mergeCells>
  <pageMargins left="0.7" right="0.7" top="0.75" bottom="0.75" header="0.3" footer="0.3"/>
  <pageSetup paperSize="9" orientation="portrait" horizontalDpi="300" verticalDpi="300"/>
  <drawing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B2:Y22"/>
  <sheetViews>
    <sheetView showGridLines="0" topLeftCell="A7" workbookViewId="0">
      <pane xSplit="2" topLeftCell="C1" activePane="topRight" state="frozen"/>
      <selection pane="topRight" activeCell="B18" sqref="B18"/>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s>
  <sheetData>
    <row r="2" spans="2:25" ht="40" customHeight="1" x14ac:dyDescent="0.35">
      <c r="D2" s="30" t="s">
        <v>286</v>
      </c>
      <c r="E2" s="26"/>
      <c r="F2" s="26"/>
      <c r="G2" s="26"/>
      <c r="H2" s="26"/>
      <c r="I2" s="26"/>
      <c r="J2" s="26"/>
      <c r="K2" s="26"/>
      <c r="L2" s="26"/>
      <c r="M2" s="26"/>
      <c r="N2" s="26"/>
      <c r="O2" s="26"/>
      <c r="P2" s="26"/>
      <c r="Q2" s="26"/>
      <c r="R2" s="26"/>
      <c r="S2" s="26"/>
      <c r="T2" s="26"/>
      <c r="U2" s="26"/>
      <c r="V2" s="26"/>
      <c r="W2" s="26"/>
    </row>
    <row r="5" spans="2:25" ht="30" customHeight="1" x14ac:dyDescent="0.35">
      <c r="B5" s="15"/>
      <c r="C5" s="15"/>
      <c r="D5" s="29" t="s">
        <v>38</v>
      </c>
      <c r="E5" s="29"/>
      <c r="F5" s="15"/>
      <c r="G5" s="29" t="s">
        <v>39</v>
      </c>
      <c r="H5" s="29"/>
      <c r="I5" s="29"/>
      <c r="J5" s="29"/>
      <c r="K5" s="29"/>
      <c r="L5" s="29"/>
      <c r="M5" s="15"/>
      <c r="N5" s="29" t="s">
        <v>40</v>
      </c>
      <c r="O5" s="29"/>
      <c r="P5" s="29"/>
      <c r="Q5" s="29"/>
      <c r="R5" s="29"/>
      <c r="S5" s="29"/>
      <c r="T5" s="29"/>
      <c r="U5" s="29"/>
      <c r="V5" s="29"/>
      <c r="W5" s="15"/>
      <c r="X5" s="29" t="s">
        <v>41</v>
      </c>
      <c r="Y5" s="29"/>
    </row>
    <row r="6" spans="2:25" ht="29"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row>
    <row r="7" spans="2:25" ht="30" customHeight="1" x14ac:dyDescent="0.35">
      <c r="B7" s="10" t="s">
        <v>19</v>
      </c>
      <c r="C7" s="10">
        <v>1876</v>
      </c>
      <c r="D7" s="10">
        <v>916</v>
      </c>
      <c r="E7" s="10">
        <v>955</v>
      </c>
      <c r="F7" s="10"/>
      <c r="G7" s="10">
        <v>82</v>
      </c>
      <c r="H7" s="10">
        <v>441</v>
      </c>
      <c r="I7" s="10">
        <v>678</v>
      </c>
      <c r="J7" s="10">
        <v>511</v>
      </c>
      <c r="K7" s="10">
        <v>138</v>
      </c>
      <c r="L7" s="10">
        <v>26</v>
      </c>
      <c r="M7" s="10"/>
      <c r="N7" s="10">
        <v>56</v>
      </c>
      <c r="O7" s="10">
        <v>50</v>
      </c>
      <c r="P7" s="10">
        <v>277</v>
      </c>
      <c r="Q7" s="10">
        <v>183</v>
      </c>
      <c r="R7" s="10">
        <v>249</v>
      </c>
      <c r="S7" s="10">
        <v>213</v>
      </c>
      <c r="T7" s="10">
        <v>410</v>
      </c>
      <c r="U7" s="10">
        <v>329</v>
      </c>
      <c r="V7" s="10">
        <v>109</v>
      </c>
      <c r="W7" s="10"/>
      <c r="X7" s="10">
        <v>921</v>
      </c>
      <c r="Y7" s="10">
        <v>955</v>
      </c>
    </row>
    <row r="8" spans="2:25" ht="30" customHeight="1" x14ac:dyDescent="0.35">
      <c r="B8" s="11" t="s">
        <v>20</v>
      </c>
      <c r="C8" s="11">
        <v>1828</v>
      </c>
      <c r="D8" s="11">
        <v>932</v>
      </c>
      <c r="E8" s="11">
        <v>891</v>
      </c>
      <c r="F8" s="11"/>
      <c r="G8" s="11">
        <v>84</v>
      </c>
      <c r="H8" s="11">
        <v>413</v>
      </c>
      <c r="I8" s="11">
        <v>687</v>
      </c>
      <c r="J8" s="11">
        <v>488</v>
      </c>
      <c r="K8" s="11">
        <v>130</v>
      </c>
      <c r="L8" s="11">
        <v>27</v>
      </c>
      <c r="M8" s="11"/>
      <c r="N8" s="11">
        <v>57</v>
      </c>
      <c r="O8" s="11">
        <v>46</v>
      </c>
      <c r="P8" s="11">
        <v>282</v>
      </c>
      <c r="Q8" s="11">
        <v>186</v>
      </c>
      <c r="R8" s="11">
        <v>233</v>
      </c>
      <c r="S8" s="11">
        <v>217</v>
      </c>
      <c r="T8" s="11">
        <v>389</v>
      </c>
      <c r="U8" s="11">
        <v>306</v>
      </c>
      <c r="V8" s="11">
        <v>113</v>
      </c>
      <c r="W8" s="11"/>
      <c r="X8" s="11">
        <v>839</v>
      </c>
      <c r="Y8" s="11">
        <v>988</v>
      </c>
    </row>
    <row r="9" spans="2:25" x14ac:dyDescent="0.35">
      <c r="B9" s="18" t="s">
        <v>276</v>
      </c>
      <c r="C9" s="17">
        <v>0.49262265202799599</v>
      </c>
      <c r="D9" s="17">
        <v>0.44474106573155903</v>
      </c>
      <c r="E9" s="17">
        <v>0.54107369519901805</v>
      </c>
      <c r="F9" s="17"/>
      <c r="G9" s="17">
        <v>0.39483789811074799</v>
      </c>
      <c r="H9" s="17">
        <v>0.48829030261448197</v>
      </c>
      <c r="I9" s="17">
        <v>0.50132196148908303</v>
      </c>
      <c r="J9" s="17">
        <v>0.50548062020538198</v>
      </c>
      <c r="K9" s="17">
        <v>0.4717551548178</v>
      </c>
      <c r="L9" s="17">
        <v>0.50971194977799195</v>
      </c>
      <c r="M9" s="17"/>
      <c r="N9" s="17">
        <v>0.81987955866314299</v>
      </c>
      <c r="O9" s="17">
        <v>0.69257263169949401</v>
      </c>
      <c r="P9" s="17">
        <v>0.38788847488426498</v>
      </c>
      <c r="Q9" s="17">
        <v>0.42076792908149302</v>
      </c>
      <c r="R9" s="17">
        <v>0.51192434317651903</v>
      </c>
      <c r="S9" s="17">
        <v>0.497895088373843</v>
      </c>
      <c r="T9" s="17">
        <v>0.43576634038283202</v>
      </c>
      <c r="U9" s="17">
        <v>0.57878400336967395</v>
      </c>
      <c r="V9" s="17">
        <v>0.53869053324972305</v>
      </c>
      <c r="W9" s="17"/>
      <c r="X9" s="17">
        <v>0.50474126678689502</v>
      </c>
      <c r="Y9" s="17">
        <v>0.48232931332712498</v>
      </c>
    </row>
    <row r="10" spans="2:25" x14ac:dyDescent="0.35">
      <c r="B10" s="18" t="s">
        <v>277</v>
      </c>
      <c r="C10" s="17">
        <v>0.28671815468393602</v>
      </c>
      <c r="D10" s="17">
        <v>0.31589383920145198</v>
      </c>
      <c r="E10" s="17">
        <v>0.25662304077693499</v>
      </c>
      <c r="F10" s="17"/>
      <c r="G10" s="17">
        <v>0.29646925353231401</v>
      </c>
      <c r="H10" s="17">
        <v>0.27737416748371702</v>
      </c>
      <c r="I10" s="17">
        <v>0.297924880799393</v>
      </c>
      <c r="J10" s="17">
        <v>0.26391572089132198</v>
      </c>
      <c r="K10" s="17">
        <v>0.350434705272342</v>
      </c>
      <c r="L10" s="17">
        <v>0.218916751448648</v>
      </c>
      <c r="M10" s="17"/>
      <c r="N10" s="17">
        <v>0.11229025591406</v>
      </c>
      <c r="O10" s="17">
        <v>0.16769148966568301</v>
      </c>
      <c r="P10" s="17">
        <v>0.31343044569741502</v>
      </c>
      <c r="Q10" s="17">
        <v>0.31053372159164899</v>
      </c>
      <c r="R10" s="17">
        <v>0.30259028630816798</v>
      </c>
      <c r="S10" s="17">
        <v>0.29881655779527699</v>
      </c>
      <c r="T10" s="17">
        <v>0.31912857846995502</v>
      </c>
      <c r="U10" s="17">
        <v>0.244834381760828</v>
      </c>
      <c r="V10" s="17">
        <v>0.26300727289327402</v>
      </c>
      <c r="W10" s="17"/>
      <c r="X10" s="17">
        <v>0.28378007405439898</v>
      </c>
      <c r="Y10" s="17">
        <v>0.28921370880888903</v>
      </c>
    </row>
    <row r="11" spans="2:25" ht="29" x14ac:dyDescent="0.35">
      <c r="B11" s="18" t="s">
        <v>278</v>
      </c>
      <c r="C11" s="17">
        <v>0.135719849544888</v>
      </c>
      <c r="D11" s="17">
        <v>0.15081991742568901</v>
      </c>
      <c r="E11" s="17">
        <v>0.120671691777525</v>
      </c>
      <c r="F11" s="17"/>
      <c r="G11" s="17">
        <v>0.17734966480061801</v>
      </c>
      <c r="H11" s="17">
        <v>0.15089588794407999</v>
      </c>
      <c r="I11" s="17">
        <v>0.13141237412805101</v>
      </c>
      <c r="J11" s="17">
        <v>0.13073391317454</v>
      </c>
      <c r="K11" s="17">
        <v>0.10532016393667699</v>
      </c>
      <c r="L11" s="17">
        <v>0.1195795247109</v>
      </c>
      <c r="M11" s="17"/>
      <c r="N11" s="17">
        <v>3.4203368781489801E-2</v>
      </c>
      <c r="O11" s="17">
        <v>4.5889651571512501E-2</v>
      </c>
      <c r="P11" s="17">
        <v>0.16166906751560101</v>
      </c>
      <c r="Q11" s="17">
        <v>0.15390627117307201</v>
      </c>
      <c r="R11" s="17">
        <v>0.13932084092154501</v>
      </c>
      <c r="S11" s="17">
        <v>0.10873593566894001</v>
      </c>
      <c r="T11" s="17">
        <v>0.181077752524921</v>
      </c>
      <c r="U11" s="17">
        <v>0.100853200638998</v>
      </c>
      <c r="V11" s="17">
        <v>0.111086796532714</v>
      </c>
      <c r="W11" s="17"/>
      <c r="X11" s="17">
        <v>0.13104904642822399</v>
      </c>
      <c r="Y11" s="17">
        <v>0.139687147742036</v>
      </c>
    </row>
    <row r="12" spans="2:25" x14ac:dyDescent="0.35">
      <c r="B12" s="18" t="s">
        <v>279</v>
      </c>
      <c r="C12" s="17">
        <v>4.0111248447766E-2</v>
      </c>
      <c r="D12" s="17">
        <v>4.8799033367563999E-2</v>
      </c>
      <c r="E12" s="17">
        <v>3.12468168170589E-2</v>
      </c>
      <c r="F12" s="17"/>
      <c r="G12" s="17">
        <v>8.5491502144386305E-2</v>
      </c>
      <c r="H12" s="17">
        <v>4.0309361447408702E-2</v>
      </c>
      <c r="I12" s="17">
        <v>3.5065499618849701E-2</v>
      </c>
      <c r="J12" s="17">
        <v>3.8998351951198697E-2</v>
      </c>
      <c r="K12" s="17">
        <v>4.27780885431897E-2</v>
      </c>
      <c r="L12" s="17">
        <v>3.1634849474201199E-2</v>
      </c>
      <c r="M12" s="17"/>
      <c r="N12" s="17">
        <v>3.3626816641307199E-2</v>
      </c>
      <c r="O12" s="17">
        <v>1.5418636836969901E-2</v>
      </c>
      <c r="P12" s="17">
        <v>4.4137731646377902E-2</v>
      </c>
      <c r="Q12" s="17">
        <v>5.33155289764458E-2</v>
      </c>
      <c r="R12" s="17">
        <v>2.5082827143099101E-2</v>
      </c>
      <c r="S12" s="17">
        <v>4.2784544628122499E-2</v>
      </c>
      <c r="T12" s="17">
        <v>3.9804136803662203E-2</v>
      </c>
      <c r="U12" s="17">
        <v>3.8795606221829801E-2</v>
      </c>
      <c r="V12" s="17">
        <v>5.2110681456225799E-2</v>
      </c>
      <c r="W12" s="17"/>
      <c r="X12" s="17">
        <v>4.3777449670386603E-2</v>
      </c>
      <c r="Y12" s="17">
        <v>3.6997241469182297E-2</v>
      </c>
    </row>
    <row r="13" spans="2:25" x14ac:dyDescent="0.35">
      <c r="B13" s="18" t="s">
        <v>280</v>
      </c>
      <c r="C13" s="17">
        <v>2.6629742765222002E-2</v>
      </c>
      <c r="D13" s="17">
        <v>2.6871187950006498E-2</v>
      </c>
      <c r="E13" s="17">
        <v>2.65221429289541E-2</v>
      </c>
      <c r="F13" s="17"/>
      <c r="G13" s="17">
        <v>2.2756828910311101E-2</v>
      </c>
      <c r="H13" s="17">
        <v>2.7766018023945099E-2</v>
      </c>
      <c r="I13" s="17">
        <v>2.32279750977754E-2</v>
      </c>
      <c r="J13" s="17">
        <v>3.5606499301620201E-2</v>
      </c>
      <c r="K13" s="17">
        <v>7.1651071830229904E-3</v>
      </c>
      <c r="L13" s="17">
        <v>3.9425459109096998E-2</v>
      </c>
      <c r="M13" s="17"/>
      <c r="N13" s="17">
        <v>0</v>
      </c>
      <c r="O13" s="17">
        <v>6.36628298030774E-2</v>
      </c>
      <c r="P13" s="17">
        <v>5.6880011614053302E-2</v>
      </c>
      <c r="Q13" s="17">
        <v>3.5901227642885399E-2</v>
      </c>
      <c r="R13" s="17">
        <v>1.2745859435167799E-2</v>
      </c>
      <c r="S13" s="17">
        <v>1.59548556482982E-2</v>
      </c>
      <c r="T13" s="17">
        <v>1.7216652742832999E-2</v>
      </c>
      <c r="U13" s="17">
        <v>2.2774889991937601E-2</v>
      </c>
      <c r="V13" s="17">
        <v>2.6327279736200401E-2</v>
      </c>
      <c r="W13" s="17"/>
      <c r="X13" s="17">
        <v>1.7695386887302499E-2</v>
      </c>
      <c r="Y13" s="17">
        <v>3.4218427854662802E-2</v>
      </c>
    </row>
    <row r="14" spans="2:25" x14ac:dyDescent="0.35">
      <c r="B14" s="18" t="s">
        <v>162</v>
      </c>
      <c r="C14" s="17">
        <v>1.8198352530192301E-2</v>
      </c>
      <c r="D14" s="17">
        <v>1.2874956323729699E-2</v>
      </c>
      <c r="E14" s="17">
        <v>2.38626125005089E-2</v>
      </c>
      <c r="F14" s="17"/>
      <c r="G14" s="17">
        <v>2.3094852501622201E-2</v>
      </c>
      <c r="H14" s="17">
        <v>1.53642624863674E-2</v>
      </c>
      <c r="I14" s="17">
        <v>1.1047308866847801E-2</v>
      </c>
      <c r="J14" s="17">
        <v>2.5264894475937199E-2</v>
      </c>
      <c r="K14" s="17">
        <v>2.2546780246968701E-2</v>
      </c>
      <c r="L14" s="17">
        <v>8.0731465479162004E-2</v>
      </c>
      <c r="M14" s="17"/>
      <c r="N14" s="17">
        <v>0</v>
      </c>
      <c r="O14" s="17">
        <v>1.4764760423263801E-2</v>
      </c>
      <c r="P14" s="17">
        <v>3.5994268642287899E-2</v>
      </c>
      <c r="Q14" s="17">
        <v>2.5575321534453899E-2</v>
      </c>
      <c r="R14" s="17">
        <v>8.3358430155006207E-3</v>
      </c>
      <c r="S14" s="17">
        <v>3.5813017885518397E-2</v>
      </c>
      <c r="T14" s="17">
        <v>7.0065390757963102E-3</v>
      </c>
      <c r="U14" s="17">
        <v>1.39579180167324E-2</v>
      </c>
      <c r="V14" s="17">
        <v>8.7774361318629507E-3</v>
      </c>
      <c r="W14" s="17"/>
      <c r="X14" s="17">
        <v>1.8956776172792799E-2</v>
      </c>
      <c r="Y14" s="17">
        <v>1.7554160798105001E-2</v>
      </c>
    </row>
    <row r="15" spans="2:25" x14ac:dyDescent="0.35">
      <c r="B15" s="18" t="s">
        <v>281</v>
      </c>
      <c r="C15" s="21">
        <v>0.77934080671193096</v>
      </c>
      <c r="D15" s="21">
        <v>0.760634904933011</v>
      </c>
      <c r="E15" s="21">
        <v>0.79769673597595303</v>
      </c>
      <c r="F15" s="21"/>
      <c r="G15" s="21">
        <v>0.691307151643063</v>
      </c>
      <c r="H15" s="21">
        <v>0.76566447009819805</v>
      </c>
      <c r="I15" s="21">
        <v>0.79924684228847598</v>
      </c>
      <c r="J15" s="21">
        <v>0.76939634109670396</v>
      </c>
      <c r="K15" s="21">
        <v>0.82218986009014206</v>
      </c>
      <c r="L15" s="21">
        <v>0.72862870122664003</v>
      </c>
      <c r="M15" s="21"/>
      <c r="N15" s="21">
        <v>0.93216981457720305</v>
      </c>
      <c r="O15" s="21">
        <v>0.86026412136517605</v>
      </c>
      <c r="P15" s="21">
        <v>0.70131892058167999</v>
      </c>
      <c r="Q15" s="21">
        <v>0.73130165067314301</v>
      </c>
      <c r="R15" s="21">
        <v>0.814514629484687</v>
      </c>
      <c r="S15" s="21">
        <v>0.79671164616912105</v>
      </c>
      <c r="T15" s="21">
        <v>0.75489491885278703</v>
      </c>
      <c r="U15" s="21">
        <v>0.82361838513050301</v>
      </c>
      <c r="V15" s="21">
        <v>0.80169780614299702</v>
      </c>
      <c r="W15" s="21"/>
      <c r="X15" s="21">
        <v>0.78852134084129399</v>
      </c>
      <c r="Y15" s="21">
        <v>0.771543022136014</v>
      </c>
    </row>
    <row r="16" spans="2:25" x14ac:dyDescent="0.35">
      <c r="B16" s="18" t="s">
        <v>282</v>
      </c>
      <c r="C16" s="21">
        <v>6.6740991212987905E-2</v>
      </c>
      <c r="D16" s="21">
        <v>7.5670221317570494E-2</v>
      </c>
      <c r="E16" s="21">
        <v>5.7768959746013003E-2</v>
      </c>
      <c r="F16" s="21"/>
      <c r="G16" s="21">
        <v>0.108248331054697</v>
      </c>
      <c r="H16" s="21">
        <v>6.8075379471353795E-2</v>
      </c>
      <c r="I16" s="21">
        <v>5.8293474716625097E-2</v>
      </c>
      <c r="J16" s="21">
        <v>7.4604851252818905E-2</v>
      </c>
      <c r="K16" s="21">
        <v>4.9943195726212697E-2</v>
      </c>
      <c r="L16" s="21">
        <v>7.1060308583298301E-2</v>
      </c>
      <c r="M16" s="21"/>
      <c r="N16" s="21">
        <v>3.3626816641307199E-2</v>
      </c>
      <c r="O16" s="21">
        <v>7.9081466640047296E-2</v>
      </c>
      <c r="P16" s="21">
        <v>0.101017743260431</v>
      </c>
      <c r="Q16" s="21">
        <v>8.9216756619331095E-2</v>
      </c>
      <c r="R16" s="21">
        <v>3.7828686578266803E-2</v>
      </c>
      <c r="S16" s="21">
        <v>5.8739400276420703E-2</v>
      </c>
      <c r="T16" s="21">
        <v>5.7020789546495101E-2</v>
      </c>
      <c r="U16" s="21">
        <v>6.1570496213767402E-2</v>
      </c>
      <c r="V16" s="21">
        <v>7.84379611924262E-2</v>
      </c>
      <c r="W16" s="21"/>
      <c r="X16" s="21">
        <v>6.1472836557689099E-2</v>
      </c>
      <c r="Y16" s="21">
        <v>7.1215669323845099E-2</v>
      </c>
    </row>
    <row r="17" spans="2:25" x14ac:dyDescent="0.35">
      <c r="B17" s="18" t="s">
        <v>92</v>
      </c>
      <c r="C17" s="22">
        <v>0.71259981549894302</v>
      </c>
      <c r="D17" s="22">
        <v>0.68496468361544105</v>
      </c>
      <c r="E17" s="22">
        <v>0.73992777622993999</v>
      </c>
      <c r="F17" s="22"/>
      <c r="G17" s="22">
        <v>0.583058820588365</v>
      </c>
      <c r="H17" s="22">
        <v>0.69758909062684504</v>
      </c>
      <c r="I17" s="22">
        <v>0.74095336757185104</v>
      </c>
      <c r="J17" s="22">
        <v>0.69479148984388495</v>
      </c>
      <c r="K17" s="22">
        <v>0.77224666436392897</v>
      </c>
      <c r="L17" s="22">
        <v>0.65756839264334199</v>
      </c>
      <c r="M17" s="22"/>
      <c r="N17" s="22">
        <v>0.89854299793589598</v>
      </c>
      <c r="O17" s="22">
        <v>0.78118265472512904</v>
      </c>
      <c r="P17" s="22">
        <v>0.60030117732124899</v>
      </c>
      <c r="Q17" s="22">
        <v>0.64208489405381197</v>
      </c>
      <c r="R17" s="22">
        <v>0.77668594290642001</v>
      </c>
      <c r="S17" s="22">
        <v>0.73797224589270005</v>
      </c>
      <c r="T17" s="22">
        <v>0.697874129306292</v>
      </c>
      <c r="U17" s="22">
        <v>0.76204788891673503</v>
      </c>
      <c r="V17" s="22">
        <v>0.72325984495057105</v>
      </c>
      <c r="W17" s="22"/>
      <c r="X17" s="22">
        <v>0.72704850428360501</v>
      </c>
      <c r="Y17" s="22">
        <v>0.70032735281216896</v>
      </c>
    </row>
    <row r="18" spans="2:25" x14ac:dyDescent="0.35">
      <c r="B18" s="16" t="s">
        <v>535</v>
      </c>
    </row>
    <row r="19" spans="2:25" x14ac:dyDescent="0.35">
      <c r="B19" t="s">
        <v>51</v>
      </c>
    </row>
    <row r="20" spans="2:25" x14ac:dyDescent="0.35">
      <c r="B20" t="s">
        <v>52</v>
      </c>
    </row>
    <row r="22" spans="2:25" x14ac:dyDescent="0.35">
      <c r="B22" s="8" t="str">
        <f>HYPERLINK("#'Contents'!A1", "Return to Contents")</f>
        <v>Return to Contents</v>
      </c>
    </row>
  </sheetData>
  <mergeCells count="5">
    <mergeCell ref="D5:E5"/>
    <mergeCell ref="G5:L5"/>
    <mergeCell ref="N5:V5"/>
    <mergeCell ref="X5:Y5"/>
    <mergeCell ref="D2:W2"/>
  </mergeCells>
  <pageMargins left="0.7" right="0.7" top="0.75" bottom="0.75" header="0.3" footer="0.3"/>
  <pageSetup paperSize="9" orientation="portrait" horizontalDpi="300" verticalDpi="300"/>
  <drawing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B2:Y22"/>
  <sheetViews>
    <sheetView showGridLines="0" topLeftCell="A7" workbookViewId="0">
      <pane xSplit="2" topLeftCell="C1" activePane="topRight" state="frozen"/>
      <selection pane="topRight" activeCell="B18" sqref="B18"/>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s>
  <sheetData>
    <row r="2" spans="2:25" ht="40" customHeight="1" x14ac:dyDescent="0.35">
      <c r="D2" s="30" t="s">
        <v>287</v>
      </c>
      <c r="E2" s="26"/>
      <c r="F2" s="26"/>
      <c r="G2" s="26"/>
      <c r="H2" s="26"/>
      <c r="I2" s="26"/>
      <c r="J2" s="26"/>
      <c r="K2" s="26"/>
      <c r="L2" s="26"/>
      <c r="M2" s="26"/>
      <c r="N2" s="26"/>
      <c r="O2" s="26"/>
      <c r="P2" s="26"/>
      <c r="Q2" s="26"/>
      <c r="R2" s="26"/>
      <c r="S2" s="26"/>
      <c r="T2" s="26"/>
      <c r="U2" s="26"/>
      <c r="V2" s="26"/>
      <c r="W2" s="26"/>
    </row>
    <row r="5" spans="2:25" ht="30" customHeight="1" x14ac:dyDescent="0.35">
      <c r="B5" s="15"/>
      <c r="C5" s="15"/>
      <c r="D5" s="29" t="s">
        <v>38</v>
      </c>
      <c r="E5" s="29"/>
      <c r="F5" s="15"/>
      <c r="G5" s="29" t="s">
        <v>39</v>
      </c>
      <c r="H5" s="29"/>
      <c r="I5" s="29"/>
      <c r="J5" s="29"/>
      <c r="K5" s="29"/>
      <c r="L5" s="29"/>
      <c r="M5" s="15"/>
      <c r="N5" s="29" t="s">
        <v>40</v>
      </c>
      <c r="O5" s="29"/>
      <c r="P5" s="29"/>
      <c r="Q5" s="29"/>
      <c r="R5" s="29"/>
      <c r="S5" s="29"/>
      <c r="T5" s="29"/>
      <c r="U5" s="29"/>
      <c r="V5" s="29"/>
      <c r="W5" s="15"/>
      <c r="X5" s="29" t="s">
        <v>41</v>
      </c>
      <c r="Y5" s="29"/>
    </row>
    <row r="6" spans="2:25" ht="29"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row>
    <row r="7" spans="2:25" ht="30" customHeight="1" x14ac:dyDescent="0.35">
      <c r="B7" s="10" t="s">
        <v>19</v>
      </c>
      <c r="C7" s="10">
        <v>1876</v>
      </c>
      <c r="D7" s="10">
        <v>916</v>
      </c>
      <c r="E7" s="10">
        <v>955</v>
      </c>
      <c r="F7" s="10"/>
      <c r="G7" s="10">
        <v>82</v>
      </c>
      <c r="H7" s="10">
        <v>441</v>
      </c>
      <c r="I7" s="10">
        <v>678</v>
      </c>
      <c r="J7" s="10">
        <v>511</v>
      </c>
      <c r="K7" s="10">
        <v>138</v>
      </c>
      <c r="L7" s="10">
        <v>26</v>
      </c>
      <c r="M7" s="10"/>
      <c r="N7" s="10">
        <v>56</v>
      </c>
      <c r="O7" s="10">
        <v>50</v>
      </c>
      <c r="P7" s="10">
        <v>277</v>
      </c>
      <c r="Q7" s="10">
        <v>183</v>
      </c>
      <c r="R7" s="10">
        <v>249</v>
      </c>
      <c r="S7" s="10">
        <v>213</v>
      </c>
      <c r="T7" s="10">
        <v>410</v>
      </c>
      <c r="U7" s="10">
        <v>329</v>
      </c>
      <c r="V7" s="10">
        <v>109</v>
      </c>
      <c r="W7" s="10"/>
      <c r="X7" s="10">
        <v>921</v>
      </c>
      <c r="Y7" s="10">
        <v>955</v>
      </c>
    </row>
    <row r="8" spans="2:25" ht="30" customHeight="1" x14ac:dyDescent="0.35">
      <c r="B8" s="11" t="s">
        <v>20</v>
      </c>
      <c r="C8" s="11">
        <v>1828</v>
      </c>
      <c r="D8" s="11">
        <v>932</v>
      </c>
      <c r="E8" s="11">
        <v>891</v>
      </c>
      <c r="F8" s="11"/>
      <c r="G8" s="11">
        <v>84</v>
      </c>
      <c r="H8" s="11">
        <v>413</v>
      </c>
      <c r="I8" s="11">
        <v>687</v>
      </c>
      <c r="J8" s="11">
        <v>488</v>
      </c>
      <c r="K8" s="11">
        <v>130</v>
      </c>
      <c r="L8" s="11">
        <v>27</v>
      </c>
      <c r="M8" s="11"/>
      <c r="N8" s="11">
        <v>57</v>
      </c>
      <c r="O8" s="11">
        <v>46</v>
      </c>
      <c r="P8" s="11">
        <v>282</v>
      </c>
      <c r="Q8" s="11">
        <v>186</v>
      </c>
      <c r="R8" s="11">
        <v>233</v>
      </c>
      <c r="S8" s="11">
        <v>217</v>
      </c>
      <c r="T8" s="11">
        <v>389</v>
      </c>
      <c r="U8" s="11">
        <v>306</v>
      </c>
      <c r="V8" s="11">
        <v>113</v>
      </c>
      <c r="W8" s="11"/>
      <c r="X8" s="11">
        <v>839</v>
      </c>
      <c r="Y8" s="11">
        <v>988</v>
      </c>
    </row>
    <row r="9" spans="2:25" x14ac:dyDescent="0.35">
      <c r="B9" s="18" t="s">
        <v>276</v>
      </c>
      <c r="C9" s="17">
        <v>0.55240323260421498</v>
      </c>
      <c r="D9" s="17">
        <v>0.50852111261278199</v>
      </c>
      <c r="E9" s="17">
        <v>0.59584527970346401</v>
      </c>
      <c r="F9" s="17"/>
      <c r="G9" s="17">
        <v>0.46030195500480298</v>
      </c>
      <c r="H9" s="17">
        <v>0.53133455299254295</v>
      </c>
      <c r="I9" s="17">
        <v>0.55595468381173896</v>
      </c>
      <c r="J9" s="17">
        <v>0.56485389107373096</v>
      </c>
      <c r="K9" s="17">
        <v>0.57843131390761005</v>
      </c>
      <c r="L9" s="17">
        <v>0.72342030973739502</v>
      </c>
      <c r="M9" s="17"/>
      <c r="N9" s="17">
        <v>0.67187077615139601</v>
      </c>
      <c r="O9" s="17">
        <v>0.71128027908902003</v>
      </c>
      <c r="P9" s="17">
        <v>0.51784504556491895</v>
      </c>
      <c r="Q9" s="17">
        <v>0.46800635964572501</v>
      </c>
      <c r="R9" s="17">
        <v>0.58626340564550505</v>
      </c>
      <c r="S9" s="17">
        <v>0.57910407700250199</v>
      </c>
      <c r="T9" s="17">
        <v>0.50509877582405704</v>
      </c>
      <c r="U9" s="17">
        <v>0.61652675752415698</v>
      </c>
      <c r="V9" s="17">
        <v>0.52104044165152896</v>
      </c>
      <c r="W9" s="17"/>
      <c r="X9" s="17">
        <v>0.58684073712260398</v>
      </c>
      <c r="Y9" s="17">
        <v>0.52315262062645296</v>
      </c>
    </row>
    <row r="10" spans="2:25" x14ac:dyDescent="0.35">
      <c r="B10" s="18" t="s">
        <v>277</v>
      </c>
      <c r="C10" s="17">
        <v>0.32762446166548098</v>
      </c>
      <c r="D10" s="17">
        <v>0.35705697944920001</v>
      </c>
      <c r="E10" s="17">
        <v>0.29863618675702902</v>
      </c>
      <c r="F10" s="17"/>
      <c r="G10" s="17">
        <v>0.35438159630260102</v>
      </c>
      <c r="H10" s="17">
        <v>0.33005061865940799</v>
      </c>
      <c r="I10" s="17">
        <v>0.32289883616549198</v>
      </c>
      <c r="J10" s="17">
        <v>0.32295769332787899</v>
      </c>
      <c r="K10" s="17">
        <v>0.36263965121273301</v>
      </c>
      <c r="L10" s="17">
        <v>0.242135193947249</v>
      </c>
      <c r="M10" s="17"/>
      <c r="N10" s="17">
        <v>0.16928046658439899</v>
      </c>
      <c r="O10" s="17">
        <v>0.23974842541783001</v>
      </c>
      <c r="P10" s="17">
        <v>0.33331376193651802</v>
      </c>
      <c r="Q10" s="17">
        <v>0.349863275149709</v>
      </c>
      <c r="R10" s="17">
        <v>0.32796693071035099</v>
      </c>
      <c r="S10" s="17">
        <v>0.29136170211746898</v>
      </c>
      <c r="T10" s="17">
        <v>0.39416857154205598</v>
      </c>
      <c r="U10" s="17">
        <v>0.28709146424280602</v>
      </c>
      <c r="V10" s="17">
        <v>0.34195491996775901</v>
      </c>
      <c r="W10" s="17"/>
      <c r="X10" s="17">
        <v>0.304350414413736</v>
      </c>
      <c r="Y10" s="17">
        <v>0.34739302895378099</v>
      </c>
    </row>
    <row r="11" spans="2:25" ht="29" x14ac:dyDescent="0.35">
      <c r="B11" s="18" t="s">
        <v>278</v>
      </c>
      <c r="C11" s="17">
        <v>8.8337533156382306E-2</v>
      </c>
      <c r="D11" s="17">
        <v>9.6215346179391897E-2</v>
      </c>
      <c r="E11" s="17">
        <v>8.0582141194534995E-2</v>
      </c>
      <c r="F11" s="17"/>
      <c r="G11" s="17">
        <v>0.160447758650509</v>
      </c>
      <c r="H11" s="17">
        <v>9.6406468094999906E-2</v>
      </c>
      <c r="I11" s="17">
        <v>0.102661688391479</v>
      </c>
      <c r="J11" s="17">
        <v>6.3729730528146497E-2</v>
      </c>
      <c r="K11" s="17">
        <v>4.3768062882627003E-2</v>
      </c>
      <c r="L11" s="17">
        <v>3.4444496315355899E-2</v>
      </c>
      <c r="M11" s="17"/>
      <c r="N11" s="17">
        <v>0.125125548028971</v>
      </c>
      <c r="O11" s="17">
        <v>0</v>
      </c>
      <c r="P11" s="17">
        <v>9.6024156361352406E-2</v>
      </c>
      <c r="Q11" s="17">
        <v>0.11617217617657399</v>
      </c>
      <c r="R11" s="17">
        <v>5.8706439990468602E-2</v>
      </c>
      <c r="S11" s="17">
        <v>9.1859688127241504E-2</v>
      </c>
      <c r="T11" s="17">
        <v>8.8986544535463993E-2</v>
      </c>
      <c r="U11" s="17">
        <v>7.7797765220226398E-2</v>
      </c>
      <c r="V11" s="17">
        <v>0.12112423079019601</v>
      </c>
      <c r="W11" s="17"/>
      <c r="X11" s="17">
        <v>8.0113807756136898E-2</v>
      </c>
      <c r="Y11" s="17">
        <v>9.5322621189279394E-2</v>
      </c>
    </row>
    <row r="12" spans="2:25" x14ac:dyDescent="0.35">
      <c r="B12" s="18" t="s">
        <v>279</v>
      </c>
      <c r="C12" s="17">
        <v>1.08555727727273E-2</v>
      </c>
      <c r="D12" s="17">
        <v>1.0754147532294801E-2</v>
      </c>
      <c r="E12" s="17">
        <v>1.1020641159631899E-2</v>
      </c>
      <c r="F12" s="17"/>
      <c r="G12" s="17">
        <v>1.3080640088606999E-2</v>
      </c>
      <c r="H12" s="17">
        <v>2.0432476289042802E-2</v>
      </c>
      <c r="I12" s="17">
        <v>7.8064864400847504E-3</v>
      </c>
      <c r="J12" s="17">
        <v>1.01284928657004E-2</v>
      </c>
      <c r="K12" s="17">
        <v>0</v>
      </c>
      <c r="L12" s="17">
        <v>0</v>
      </c>
      <c r="M12" s="17"/>
      <c r="N12" s="17">
        <v>0</v>
      </c>
      <c r="O12" s="17">
        <v>1.87878982329172E-2</v>
      </c>
      <c r="P12" s="17">
        <v>1.3844606783938101E-2</v>
      </c>
      <c r="Q12" s="17">
        <v>3.45117411363354E-2</v>
      </c>
      <c r="R12" s="17">
        <v>1.61371888304894E-2</v>
      </c>
      <c r="S12" s="17">
        <v>1.01174112154458E-2</v>
      </c>
      <c r="T12" s="17">
        <v>2.4435746264424999E-3</v>
      </c>
      <c r="U12" s="17">
        <v>5.7841118294370596E-3</v>
      </c>
      <c r="V12" s="17">
        <v>0</v>
      </c>
      <c r="W12" s="17"/>
      <c r="X12" s="17">
        <v>1.2613906277647399E-2</v>
      </c>
      <c r="Y12" s="17">
        <v>9.3620751514797308E-3</v>
      </c>
    </row>
    <row r="13" spans="2:25" x14ac:dyDescent="0.35">
      <c r="B13" s="18" t="s">
        <v>280</v>
      </c>
      <c r="C13" s="17">
        <v>9.7318244796854095E-3</v>
      </c>
      <c r="D13" s="17">
        <v>1.68004862742516E-2</v>
      </c>
      <c r="E13" s="17">
        <v>2.39488175760577E-3</v>
      </c>
      <c r="F13" s="17"/>
      <c r="G13" s="17">
        <v>0</v>
      </c>
      <c r="H13" s="17">
        <v>1.24089081883324E-2</v>
      </c>
      <c r="I13" s="17">
        <v>4.1616143165530504E-3</v>
      </c>
      <c r="J13" s="17">
        <v>1.81920145315684E-2</v>
      </c>
      <c r="K13" s="17">
        <v>7.1651071830229904E-3</v>
      </c>
      <c r="L13" s="17">
        <v>0</v>
      </c>
      <c r="M13" s="17"/>
      <c r="N13" s="17">
        <v>3.3723209235233503E-2</v>
      </c>
      <c r="O13" s="17">
        <v>1.5418636836969901E-2</v>
      </c>
      <c r="P13" s="17">
        <v>1.08691427550327E-2</v>
      </c>
      <c r="Q13" s="17">
        <v>1.5884941842317001E-2</v>
      </c>
      <c r="R13" s="17">
        <v>1.0926034823186199E-2</v>
      </c>
      <c r="S13" s="17">
        <v>1.03949429917635E-2</v>
      </c>
      <c r="T13" s="17">
        <v>6.8929060754363298E-3</v>
      </c>
      <c r="U13" s="17">
        <v>5.42499479345274E-3</v>
      </c>
      <c r="V13" s="17">
        <v>0</v>
      </c>
      <c r="W13" s="17"/>
      <c r="X13" s="17">
        <v>8.2291204179245799E-3</v>
      </c>
      <c r="Y13" s="17">
        <v>1.1008194938076201E-2</v>
      </c>
    </row>
    <row r="14" spans="2:25" x14ac:dyDescent="0.35">
      <c r="B14" s="18" t="s">
        <v>162</v>
      </c>
      <c r="C14" s="17">
        <v>1.1047375321508899E-2</v>
      </c>
      <c r="D14" s="17">
        <v>1.0651927952080101E-2</v>
      </c>
      <c r="E14" s="17">
        <v>1.15208694277342E-2</v>
      </c>
      <c r="F14" s="17"/>
      <c r="G14" s="17">
        <v>1.17880499534798E-2</v>
      </c>
      <c r="H14" s="17">
        <v>9.3669757756740905E-3</v>
      </c>
      <c r="I14" s="17">
        <v>6.5166908746517897E-3</v>
      </c>
      <c r="J14" s="17">
        <v>2.01381776729747E-2</v>
      </c>
      <c r="K14" s="17">
        <v>7.9958648140078595E-3</v>
      </c>
      <c r="L14" s="17">
        <v>0</v>
      </c>
      <c r="M14" s="17"/>
      <c r="N14" s="17">
        <v>0</v>
      </c>
      <c r="O14" s="17">
        <v>1.4764760423263801E-2</v>
      </c>
      <c r="P14" s="17">
        <v>2.8103286598240001E-2</v>
      </c>
      <c r="Q14" s="17">
        <v>1.5561506049339899E-2</v>
      </c>
      <c r="R14" s="17">
        <v>0</v>
      </c>
      <c r="S14" s="17">
        <v>1.7162178545577601E-2</v>
      </c>
      <c r="T14" s="17">
        <v>2.4096273965442702E-3</v>
      </c>
      <c r="U14" s="17">
        <v>7.3749063899203396E-3</v>
      </c>
      <c r="V14" s="17">
        <v>1.5880407590515899E-2</v>
      </c>
      <c r="W14" s="17"/>
      <c r="X14" s="17">
        <v>7.8520140119517599E-3</v>
      </c>
      <c r="Y14" s="17">
        <v>1.37614591409302E-2</v>
      </c>
    </row>
    <row r="15" spans="2:25" x14ac:dyDescent="0.35">
      <c r="B15" s="18" t="s">
        <v>281</v>
      </c>
      <c r="C15" s="21">
        <v>0.88002769426969596</v>
      </c>
      <c r="D15" s="21">
        <v>0.865578092061982</v>
      </c>
      <c r="E15" s="21">
        <v>0.89448146646049298</v>
      </c>
      <c r="F15" s="21"/>
      <c r="G15" s="21">
        <v>0.814683551307404</v>
      </c>
      <c r="H15" s="21">
        <v>0.86138517165195105</v>
      </c>
      <c r="I15" s="21">
        <v>0.87885351997723204</v>
      </c>
      <c r="J15" s="21">
        <v>0.88781158440161001</v>
      </c>
      <c r="K15" s="21">
        <v>0.94107096512034205</v>
      </c>
      <c r="L15" s="21">
        <v>0.96555550368464405</v>
      </c>
      <c r="M15" s="21"/>
      <c r="N15" s="21">
        <v>0.841151242735795</v>
      </c>
      <c r="O15" s="21">
        <v>0.95102870450684895</v>
      </c>
      <c r="P15" s="21">
        <v>0.85115880750143702</v>
      </c>
      <c r="Q15" s="21">
        <v>0.81786963479543295</v>
      </c>
      <c r="R15" s="21">
        <v>0.91423033635585604</v>
      </c>
      <c r="S15" s="21">
        <v>0.87046577911997103</v>
      </c>
      <c r="T15" s="21">
        <v>0.89926734736611302</v>
      </c>
      <c r="U15" s="21">
        <v>0.90361822176696305</v>
      </c>
      <c r="V15" s="21">
        <v>0.86299536161928803</v>
      </c>
      <c r="W15" s="21"/>
      <c r="X15" s="21">
        <v>0.89119115153633899</v>
      </c>
      <c r="Y15" s="21">
        <v>0.87054564958023395</v>
      </c>
    </row>
    <row r="16" spans="2:25" x14ac:dyDescent="0.35">
      <c r="B16" s="18" t="s">
        <v>282</v>
      </c>
      <c r="C16" s="21">
        <v>2.0587397252412699E-2</v>
      </c>
      <c r="D16" s="21">
        <v>2.7554633806546502E-2</v>
      </c>
      <c r="E16" s="21">
        <v>1.3415522917237599E-2</v>
      </c>
      <c r="F16" s="21"/>
      <c r="G16" s="21">
        <v>1.3080640088606999E-2</v>
      </c>
      <c r="H16" s="21">
        <v>3.28413844773753E-2</v>
      </c>
      <c r="I16" s="21">
        <v>1.19681007566378E-2</v>
      </c>
      <c r="J16" s="21">
        <v>2.8320507397268799E-2</v>
      </c>
      <c r="K16" s="21">
        <v>7.1651071830229904E-3</v>
      </c>
      <c r="L16" s="21">
        <v>0</v>
      </c>
      <c r="M16" s="21"/>
      <c r="N16" s="21">
        <v>3.3723209235233503E-2</v>
      </c>
      <c r="O16" s="21">
        <v>3.4206535069887099E-2</v>
      </c>
      <c r="P16" s="21">
        <v>2.4713749538970899E-2</v>
      </c>
      <c r="Q16" s="21">
        <v>5.03966829786524E-2</v>
      </c>
      <c r="R16" s="21">
        <v>2.7063223653675601E-2</v>
      </c>
      <c r="S16" s="21">
        <v>2.0512354207209298E-2</v>
      </c>
      <c r="T16" s="21">
        <v>9.3364807018788305E-3</v>
      </c>
      <c r="U16" s="21">
        <v>1.12091066228898E-2</v>
      </c>
      <c r="V16" s="21">
        <v>0</v>
      </c>
      <c r="W16" s="21"/>
      <c r="X16" s="21">
        <v>2.0843026695572E-2</v>
      </c>
      <c r="Y16" s="21">
        <v>2.03702700895559E-2</v>
      </c>
    </row>
    <row r="17" spans="2:25" x14ac:dyDescent="0.35">
      <c r="B17" s="18" t="s">
        <v>92</v>
      </c>
      <c r="C17" s="22">
        <v>0.85944029701728297</v>
      </c>
      <c r="D17" s="22">
        <v>0.83802345825543501</v>
      </c>
      <c r="E17" s="22">
        <v>0.88106594354325596</v>
      </c>
      <c r="F17" s="22"/>
      <c r="G17" s="22">
        <v>0.80160291121879701</v>
      </c>
      <c r="H17" s="22">
        <v>0.828543787174575</v>
      </c>
      <c r="I17" s="22">
        <v>0.86688541922059403</v>
      </c>
      <c r="J17" s="22">
        <v>0.85949107700434102</v>
      </c>
      <c r="K17" s="22">
        <v>0.93390585793731895</v>
      </c>
      <c r="L17" s="22">
        <v>0.96555550368464405</v>
      </c>
      <c r="M17" s="22"/>
      <c r="N17" s="22">
        <v>0.80742803350056203</v>
      </c>
      <c r="O17" s="22">
        <v>0.91682216943696204</v>
      </c>
      <c r="P17" s="22">
        <v>0.82644505796246603</v>
      </c>
      <c r="Q17" s="22">
        <v>0.76747295181678099</v>
      </c>
      <c r="R17" s="22">
        <v>0.88716711270217996</v>
      </c>
      <c r="S17" s="22">
        <v>0.84995342491276205</v>
      </c>
      <c r="T17" s="22">
        <v>0.88993086666423404</v>
      </c>
      <c r="U17" s="22">
        <v>0.89240911514407395</v>
      </c>
      <c r="V17" s="22">
        <v>0.86299536161928803</v>
      </c>
      <c r="W17" s="22"/>
      <c r="X17" s="22">
        <v>0.87034812484076696</v>
      </c>
      <c r="Y17" s="22">
        <v>0.85017537949067801</v>
      </c>
    </row>
    <row r="18" spans="2:25" x14ac:dyDescent="0.35">
      <c r="B18" s="16" t="s">
        <v>535</v>
      </c>
    </row>
    <row r="19" spans="2:25" x14ac:dyDescent="0.35">
      <c r="B19" t="s">
        <v>51</v>
      </c>
    </row>
    <row r="20" spans="2:25" x14ac:dyDescent="0.35">
      <c r="B20" t="s">
        <v>52</v>
      </c>
    </row>
    <row r="22" spans="2:25" x14ac:dyDescent="0.35">
      <c r="B22" s="8" t="str">
        <f>HYPERLINK("#'Contents'!A1", "Return to Contents")</f>
        <v>Return to Contents</v>
      </c>
    </row>
  </sheetData>
  <mergeCells count="5">
    <mergeCell ref="D5:E5"/>
    <mergeCell ref="G5:L5"/>
    <mergeCell ref="N5:V5"/>
    <mergeCell ref="X5:Y5"/>
    <mergeCell ref="D2:W2"/>
  </mergeCells>
  <pageMargins left="0.7" right="0.7" top="0.75" bottom="0.75" header="0.3" footer="0.3"/>
  <pageSetup paperSize="9" orientation="portrait" horizontalDpi="300" verticalDpi="300"/>
  <drawing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B2:Y22"/>
  <sheetViews>
    <sheetView showGridLines="0" topLeftCell="A7" workbookViewId="0">
      <pane xSplit="2" topLeftCell="C1" activePane="topRight" state="frozen"/>
      <selection pane="topRight" activeCell="B18" sqref="B18"/>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s>
  <sheetData>
    <row r="2" spans="2:25" ht="40" customHeight="1" x14ac:dyDescent="0.35">
      <c r="D2" s="30" t="s">
        <v>288</v>
      </c>
      <c r="E2" s="26"/>
      <c r="F2" s="26"/>
      <c r="G2" s="26"/>
      <c r="H2" s="26"/>
      <c r="I2" s="26"/>
      <c r="J2" s="26"/>
      <c r="K2" s="26"/>
      <c r="L2" s="26"/>
      <c r="M2" s="26"/>
      <c r="N2" s="26"/>
      <c r="O2" s="26"/>
      <c r="P2" s="26"/>
      <c r="Q2" s="26"/>
      <c r="R2" s="26"/>
      <c r="S2" s="26"/>
      <c r="T2" s="26"/>
      <c r="U2" s="26"/>
      <c r="V2" s="26"/>
      <c r="W2" s="26"/>
    </row>
    <row r="5" spans="2:25" ht="30" customHeight="1" x14ac:dyDescent="0.35">
      <c r="B5" s="15"/>
      <c r="C5" s="15"/>
      <c r="D5" s="29" t="s">
        <v>38</v>
      </c>
      <c r="E5" s="29"/>
      <c r="F5" s="15"/>
      <c r="G5" s="29" t="s">
        <v>39</v>
      </c>
      <c r="H5" s="29"/>
      <c r="I5" s="29"/>
      <c r="J5" s="29"/>
      <c r="K5" s="29"/>
      <c r="L5" s="29"/>
      <c r="M5" s="15"/>
      <c r="N5" s="29" t="s">
        <v>40</v>
      </c>
      <c r="O5" s="29"/>
      <c r="P5" s="29"/>
      <c r="Q5" s="29"/>
      <c r="R5" s="29"/>
      <c r="S5" s="29"/>
      <c r="T5" s="29"/>
      <c r="U5" s="29"/>
      <c r="V5" s="29"/>
      <c r="W5" s="15"/>
      <c r="X5" s="29" t="s">
        <v>41</v>
      </c>
      <c r="Y5" s="29"/>
    </row>
    <row r="6" spans="2:25" ht="29"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row>
    <row r="7" spans="2:25" ht="30" customHeight="1" x14ac:dyDescent="0.35">
      <c r="B7" s="10" t="s">
        <v>19</v>
      </c>
      <c r="C7" s="10">
        <v>1876</v>
      </c>
      <c r="D7" s="10">
        <v>916</v>
      </c>
      <c r="E7" s="10">
        <v>955</v>
      </c>
      <c r="F7" s="10"/>
      <c r="G7" s="10">
        <v>82</v>
      </c>
      <c r="H7" s="10">
        <v>441</v>
      </c>
      <c r="I7" s="10">
        <v>678</v>
      </c>
      <c r="J7" s="10">
        <v>511</v>
      </c>
      <c r="K7" s="10">
        <v>138</v>
      </c>
      <c r="L7" s="10">
        <v>26</v>
      </c>
      <c r="M7" s="10"/>
      <c r="N7" s="10">
        <v>56</v>
      </c>
      <c r="O7" s="10">
        <v>50</v>
      </c>
      <c r="P7" s="10">
        <v>277</v>
      </c>
      <c r="Q7" s="10">
        <v>183</v>
      </c>
      <c r="R7" s="10">
        <v>249</v>
      </c>
      <c r="S7" s="10">
        <v>213</v>
      </c>
      <c r="T7" s="10">
        <v>410</v>
      </c>
      <c r="U7" s="10">
        <v>329</v>
      </c>
      <c r="V7" s="10">
        <v>109</v>
      </c>
      <c r="W7" s="10"/>
      <c r="X7" s="10">
        <v>921</v>
      </c>
      <c r="Y7" s="10">
        <v>955</v>
      </c>
    </row>
    <row r="8" spans="2:25" ht="30" customHeight="1" x14ac:dyDescent="0.35">
      <c r="B8" s="11" t="s">
        <v>20</v>
      </c>
      <c r="C8" s="11">
        <v>1828</v>
      </c>
      <c r="D8" s="11">
        <v>932</v>
      </c>
      <c r="E8" s="11">
        <v>891</v>
      </c>
      <c r="F8" s="11"/>
      <c r="G8" s="11">
        <v>84</v>
      </c>
      <c r="H8" s="11">
        <v>413</v>
      </c>
      <c r="I8" s="11">
        <v>687</v>
      </c>
      <c r="J8" s="11">
        <v>488</v>
      </c>
      <c r="K8" s="11">
        <v>130</v>
      </c>
      <c r="L8" s="11">
        <v>27</v>
      </c>
      <c r="M8" s="11"/>
      <c r="N8" s="11">
        <v>57</v>
      </c>
      <c r="O8" s="11">
        <v>46</v>
      </c>
      <c r="P8" s="11">
        <v>282</v>
      </c>
      <c r="Q8" s="11">
        <v>186</v>
      </c>
      <c r="R8" s="11">
        <v>233</v>
      </c>
      <c r="S8" s="11">
        <v>217</v>
      </c>
      <c r="T8" s="11">
        <v>389</v>
      </c>
      <c r="U8" s="11">
        <v>306</v>
      </c>
      <c r="V8" s="11">
        <v>113</v>
      </c>
      <c r="W8" s="11"/>
      <c r="X8" s="11">
        <v>839</v>
      </c>
      <c r="Y8" s="11">
        <v>988</v>
      </c>
    </row>
    <row r="9" spans="2:25" x14ac:dyDescent="0.35">
      <c r="B9" s="18" t="s">
        <v>276</v>
      </c>
      <c r="C9" s="17">
        <v>0.50149092765187198</v>
      </c>
      <c r="D9" s="17">
        <v>0.47236994985881797</v>
      </c>
      <c r="E9" s="17">
        <v>0.52922420843057905</v>
      </c>
      <c r="F9" s="17"/>
      <c r="G9" s="17">
        <v>0.42427852345760703</v>
      </c>
      <c r="H9" s="17">
        <v>0.44922994510425901</v>
      </c>
      <c r="I9" s="17">
        <v>0.50692967155148705</v>
      </c>
      <c r="J9" s="17">
        <v>0.52874373699106703</v>
      </c>
      <c r="K9" s="17">
        <v>0.55519634167195098</v>
      </c>
      <c r="L9" s="17">
        <v>0.65518868970561395</v>
      </c>
      <c r="M9" s="17"/>
      <c r="N9" s="17">
        <v>0.61926054077482795</v>
      </c>
      <c r="O9" s="17">
        <v>0.51719197465920796</v>
      </c>
      <c r="P9" s="17">
        <v>0.47837532577400899</v>
      </c>
      <c r="Q9" s="17">
        <v>0.36549453153553002</v>
      </c>
      <c r="R9" s="17">
        <v>0.48939047145356201</v>
      </c>
      <c r="S9" s="17">
        <v>0.47510522295376301</v>
      </c>
      <c r="T9" s="17">
        <v>0.46223754097731701</v>
      </c>
      <c r="U9" s="17">
        <v>0.64060801743882401</v>
      </c>
      <c r="V9" s="17">
        <v>0.55101037470127701</v>
      </c>
      <c r="W9" s="17"/>
      <c r="X9" s="17">
        <v>0.53289832076034904</v>
      </c>
      <c r="Y9" s="17">
        <v>0.47481403912882197</v>
      </c>
    </row>
    <row r="10" spans="2:25" x14ac:dyDescent="0.35">
      <c r="B10" s="18" t="s">
        <v>277</v>
      </c>
      <c r="C10" s="17">
        <v>0.354951129844219</v>
      </c>
      <c r="D10" s="17">
        <v>0.371318741555135</v>
      </c>
      <c r="E10" s="17">
        <v>0.33977004473955102</v>
      </c>
      <c r="F10" s="17"/>
      <c r="G10" s="17">
        <v>0.341479086992243</v>
      </c>
      <c r="H10" s="17">
        <v>0.38015616011821901</v>
      </c>
      <c r="I10" s="17">
        <v>0.35261381900180799</v>
      </c>
      <c r="J10" s="17">
        <v>0.33782016763914702</v>
      </c>
      <c r="K10" s="17">
        <v>0.36922342044343598</v>
      </c>
      <c r="L10" s="17">
        <v>0.31036681397902999</v>
      </c>
      <c r="M10" s="17"/>
      <c r="N10" s="17">
        <v>0.33201158132006198</v>
      </c>
      <c r="O10" s="17">
        <v>0.33290883895443002</v>
      </c>
      <c r="P10" s="17">
        <v>0.39522344319427699</v>
      </c>
      <c r="Q10" s="17">
        <v>0.39135044546924103</v>
      </c>
      <c r="R10" s="17">
        <v>0.39296097966117099</v>
      </c>
      <c r="S10" s="17">
        <v>0.37008245341923202</v>
      </c>
      <c r="T10" s="17">
        <v>0.38913021099633199</v>
      </c>
      <c r="U10" s="17">
        <v>0.249292772901197</v>
      </c>
      <c r="V10" s="17">
        <v>0.27575159108521002</v>
      </c>
      <c r="W10" s="17"/>
      <c r="X10" s="17">
        <v>0.33666015405753102</v>
      </c>
      <c r="Y10" s="17">
        <v>0.37048716368039097</v>
      </c>
    </row>
    <row r="11" spans="2:25" ht="29" x14ac:dyDescent="0.35">
      <c r="B11" s="18" t="s">
        <v>278</v>
      </c>
      <c r="C11" s="17">
        <v>0.100683370113029</v>
      </c>
      <c r="D11" s="17">
        <v>0.108508899915983</v>
      </c>
      <c r="E11" s="17">
        <v>9.30497757682099E-2</v>
      </c>
      <c r="F11" s="17"/>
      <c r="G11" s="17">
        <v>0.155031602431739</v>
      </c>
      <c r="H11" s="17">
        <v>0.120247519269117</v>
      </c>
      <c r="I11" s="17">
        <v>0.10717789395289801</v>
      </c>
      <c r="J11" s="17">
        <v>8.39200009047609E-2</v>
      </c>
      <c r="K11" s="17">
        <v>4.5449658491206801E-2</v>
      </c>
      <c r="L11" s="17">
        <v>3.4444496315355899E-2</v>
      </c>
      <c r="M11" s="17"/>
      <c r="N11" s="17">
        <v>1.7300879092872899E-2</v>
      </c>
      <c r="O11" s="17">
        <v>8.4933215643196294E-2</v>
      </c>
      <c r="P11" s="17">
        <v>8.4154351249034295E-2</v>
      </c>
      <c r="Q11" s="17">
        <v>0.13490874898014199</v>
      </c>
      <c r="R11" s="17">
        <v>9.3945471844266507E-2</v>
      </c>
      <c r="S11" s="17">
        <v>0.105332745022853</v>
      </c>
      <c r="T11" s="17">
        <v>0.13100211028754799</v>
      </c>
      <c r="U11" s="17">
        <v>6.7886902765274704E-2</v>
      </c>
      <c r="V11" s="17">
        <v>0.123739471263275</v>
      </c>
      <c r="W11" s="17"/>
      <c r="X11" s="17">
        <v>9.4103776700774494E-2</v>
      </c>
      <c r="Y11" s="17">
        <v>0.106271961288982</v>
      </c>
    </row>
    <row r="12" spans="2:25" x14ac:dyDescent="0.35">
      <c r="B12" s="18" t="s">
        <v>279</v>
      </c>
      <c r="C12" s="17">
        <v>1.9449161809854901E-2</v>
      </c>
      <c r="D12" s="17">
        <v>2.36760796713309E-2</v>
      </c>
      <c r="E12" s="17">
        <v>1.51359379484967E-2</v>
      </c>
      <c r="F12" s="17"/>
      <c r="G12" s="17">
        <v>4.9760622556455102E-2</v>
      </c>
      <c r="H12" s="17">
        <v>3.5186429259191403E-2</v>
      </c>
      <c r="I12" s="17">
        <v>1.0244211634428801E-2</v>
      </c>
      <c r="J12" s="17">
        <v>1.80025325152946E-2</v>
      </c>
      <c r="K12" s="17">
        <v>7.8597299064875892E-3</v>
      </c>
      <c r="L12" s="17">
        <v>0</v>
      </c>
      <c r="M12" s="17"/>
      <c r="N12" s="17">
        <v>0</v>
      </c>
      <c r="O12" s="17">
        <v>5.0201210319901803E-2</v>
      </c>
      <c r="P12" s="17">
        <v>4.2482653238093597E-3</v>
      </c>
      <c r="Q12" s="17">
        <v>7.7566943686792802E-2</v>
      </c>
      <c r="R12" s="17">
        <v>1.23403964235895E-2</v>
      </c>
      <c r="S12" s="17">
        <v>2.2220756481805801E-2</v>
      </c>
      <c r="T12" s="17">
        <v>1.06885802402913E-2</v>
      </c>
      <c r="U12" s="17">
        <v>1.49398844317632E-2</v>
      </c>
      <c r="V12" s="17">
        <v>1.1032344575433501E-2</v>
      </c>
      <c r="W12" s="17"/>
      <c r="X12" s="17">
        <v>2.2131336710726202E-2</v>
      </c>
      <c r="Y12" s="17">
        <v>1.7170969519818901E-2</v>
      </c>
    </row>
    <row r="13" spans="2:25" x14ac:dyDescent="0.35">
      <c r="B13" s="18" t="s">
        <v>280</v>
      </c>
      <c r="C13" s="17">
        <v>9.4541289651112193E-3</v>
      </c>
      <c r="D13" s="17">
        <v>1.04745735658271E-2</v>
      </c>
      <c r="E13" s="17">
        <v>8.4387278150569907E-3</v>
      </c>
      <c r="F13" s="17"/>
      <c r="G13" s="17">
        <v>1.76621146084762E-2</v>
      </c>
      <c r="H13" s="17">
        <v>5.8129704735402103E-3</v>
      </c>
      <c r="I13" s="17">
        <v>1.0839743339023E-2</v>
      </c>
      <c r="J13" s="17">
        <v>8.4104710811779403E-3</v>
      </c>
      <c r="K13" s="17">
        <v>1.42749846729104E-2</v>
      </c>
      <c r="L13" s="17">
        <v>0</v>
      </c>
      <c r="M13" s="17"/>
      <c r="N13" s="17">
        <v>3.1426998812237802E-2</v>
      </c>
      <c r="O13" s="17">
        <v>0</v>
      </c>
      <c r="P13" s="17">
        <v>1.30291017205445E-2</v>
      </c>
      <c r="Q13" s="17">
        <v>1.0385392704943699E-2</v>
      </c>
      <c r="R13" s="17">
        <v>0</v>
      </c>
      <c r="S13" s="17">
        <v>1.00966435767699E-2</v>
      </c>
      <c r="T13" s="17">
        <v>4.9601123379958596E-3</v>
      </c>
      <c r="U13" s="17">
        <v>1.52774999671833E-2</v>
      </c>
      <c r="V13" s="17">
        <v>9.6437837077887108E-3</v>
      </c>
      <c r="W13" s="17"/>
      <c r="X13" s="17">
        <v>6.7890935614763797E-3</v>
      </c>
      <c r="Y13" s="17">
        <v>1.17177632669838E-2</v>
      </c>
    </row>
    <row r="14" spans="2:25" x14ac:dyDescent="0.35">
      <c r="B14" s="18" t="s">
        <v>162</v>
      </c>
      <c r="C14" s="17">
        <v>1.39712816159139E-2</v>
      </c>
      <c r="D14" s="17">
        <v>1.36517554329068E-2</v>
      </c>
      <c r="E14" s="17">
        <v>1.4381305298106301E-2</v>
      </c>
      <c r="F14" s="17"/>
      <c r="G14" s="17">
        <v>1.17880499534798E-2</v>
      </c>
      <c r="H14" s="17">
        <v>9.3669757756740905E-3</v>
      </c>
      <c r="I14" s="17">
        <v>1.21946605203559E-2</v>
      </c>
      <c r="J14" s="17">
        <v>2.3103090868552899E-2</v>
      </c>
      <c r="K14" s="17">
        <v>7.9958648140078595E-3</v>
      </c>
      <c r="L14" s="17">
        <v>0</v>
      </c>
      <c r="M14" s="17"/>
      <c r="N14" s="17">
        <v>0</v>
      </c>
      <c r="O14" s="17">
        <v>1.4764760423263801E-2</v>
      </c>
      <c r="P14" s="17">
        <v>2.4969512738326E-2</v>
      </c>
      <c r="Q14" s="17">
        <v>2.02939376233497E-2</v>
      </c>
      <c r="R14" s="17">
        <v>1.1362680617410499E-2</v>
      </c>
      <c r="S14" s="17">
        <v>1.7162178545577601E-2</v>
      </c>
      <c r="T14" s="17">
        <v>1.98144516051561E-3</v>
      </c>
      <c r="U14" s="17">
        <v>1.19949224957579E-2</v>
      </c>
      <c r="V14" s="17">
        <v>2.8822434667016401E-2</v>
      </c>
      <c r="W14" s="17"/>
      <c r="X14" s="17">
        <v>7.41731820914224E-3</v>
      </c>
      <c r="Y14" s="17">
        <v>1.95381031150023E-2</v>
      </c>
    </row>
    <row r="15" spans="2:25" x14ac:dyDescent="0.35">
      <c r="B15" s="18" t="s">
        <v>281</v>
      </c>
      <c r="C15" s="21">
        <v>0.85644205749609004</v>
      </c>
      <c r="D15" s="21">
        <v>0.84368869141395297</v>
      </c>
      <c r="E15" s="21">
        <v>0.86899425317013002</v>
      </c>
      <c r="F15" s="21"/>
      <c r="G15" s="21">
        <v>0.76575761044985002</v>
      </c>
      <c r="H15" s="21">
        <v>0.82938610522247802</v>
      </c>
      <c r="I15" s="21">
        <v>0.85954349055329504</v>
      </c>
      <c r="J15" s="21">
        <v>0.86656390463021404</v>
      </c>
      <c r="K15" s="21">
        <v>0.92441976211538701</v>
      </c>
      <c r="L15" s="21">
        <v>0.96555550368464405</v>
      </c>
      <c r="M15" s="21"/>
      <c r="N15" s="21">
        <v>0.95127212209488898</v>
      </c>
      <c r="O15" s="21">
        <v>0.85010081361363798</v>
      </c>
      <c r="P15" s="21">
        <v>0.87359876896828603</v>
      </c>
      <c r="Q15" s="21">
        <v>0.75684497700477205</v>
      </c>
      <c r="R15" s="21">
        <v>0.88235145111473301</v>
      </c>
      <c r="S15" s="21">
        <v>0.84518767637299397</v>
      </c>
      <c r="T15" s="21">
        <v>0.851367751973649</v>
      </c>
      <c r="U15" s="21">
        <v>0.88990079034002101</v>
      </c>
      <c r="V15" s="21">
        <v>0.82676196578648697</v>
      </c>
      <c r="W15" s="21"/>
      <c r="X15" s="21">
        <v>0.86955847481788096</v>
      </c>
      <c r="Y15" s="21">
        <v>0.84530120280921295</v>
      </c>
    </row>
    <row r="16" spans="2:25" x14ac:dyDescent="0.35">
      <c r="B16" s="18" t="s">
        <v>282</v>
      </c>
      <c r="C16" s="21">
        <v>2.89032907749662E-2</v>
      </c>
      <c r="D16" s="21">
        <v>3.4150653237157901E-2</v>
      </c>
      <c r="E16" s="21">
        <v>2.3574665763553701E-2</v>
      </c>
      <c r="F16" s="21"/>
      <c r="G16" s="21">
        <v>6.7422737164931301E-2</v>
      </c>
      <c r="H16" s="21">
        <v>4.0999399732731603E-2</v>
      </c>
      <c r="I16" s="21">
        <v>2.10839549734517E-2</v>
      </c>
      <c r="J16" s="21">
        <v>2.6413003596472501E-2</v>
      </c>
      <c r="K16" s="21">
        <v>2.2134714579397901E-2</v>
      </c>
      <c r="L16" s="21">
        <v>0</v>
      </c>
      <c r="M16" s="21"/>
      <c r="N16" s="21">
        <v>3.1426998812237802E-2</v>
      </c>
      <c r="O16" s="21">
        <v>5.0201210319901803E-2</v>
      </c>
      <c r="P16" s="21">
        <v>1.72773670443538E-2</v>
      </c>
      <c r="Q16" s="21">
        <v>8.7952336391736496E-2</v>
      </c>
      <c r="R16" s="21">
        <v>1.23403964235895E-2</v>
      </c>
      <c r="S16" s="21">
        <v>3.2317400058575703E-2</v>
      </c>
      <c r="T16" s="21">
        <v>1.5648692578287202E-2</v>
      </c>
      <c r="U16" s="21">
        <v>3.0217384398946501E-2</v>
      </c>
      <c r="V16" s="21">
        <v>2.0676128283222302E-2</v>
      </c>
      <c r="W16" s="21"/>
      <c r="X16" s="21">
        <v>2.8920430272202601E-2</v>
      </c>
      <c r="Y16" s="21">
        <v>2.88887327868027E-2</v>
      </c>
    </row>
    <row r="17" spans="2:25" x14ac:dyDescent="0.35">
      <c r="B17" s="18" t="s">
        <v>92</v>
      </c>
      <c r="C17" s="22">
        <v>0.82753876672112403</v>
      </c>
      <c r="D17" s="22">
        <v>0.80953803817679504</v>
      </c>
      <c r="E17" s="22">
        <v>0.84541958740657597</v>
      </c>
      <c r="F17" s="22"/>
      <c r="G17" s="22">
        <v>0.69833487328491906</v>
      </c>
      <c r="H17" s="22">
        <v>0.78838670548974599</v>
      </c>
      <c r="I17" s="22">
        <v>0.83845953557984298</v>
      </c>
      <c r="J17" s="22">
        <v>0.84015090103374102</v>
      </c>
      <c r="K17" s="22">
        <v>0.90228504753598904</v>
      </c>
      <c r="L17" s="22">
        <v>0.96555550368464405</v>
      </c>
      <c r="M17" s="22"/>
      <c r="N17" s="22">
        <v>0.919845123282651</v>
      </c>
      <c r="O17" s="22">
        <v>0.79989960329373599</v>
      </c>
      <c r="P17" s="22">
        <v>0.85632140192393202</v>
      </c>
      <c r="Q17" s="22">
        <v>0.66889264061303499</v>
      </c>
      <c r="R17" s="22">
        <v>0.87001105469114404</v>
      </c>
      <c r="S17" s="22">
        <v>0.81287027631441799</v>
      </c>
      <c r="T17" s="22">
        <v>0.83571905939536195</v>
      </c>
      <c r="U17" s="22">
        <v>0.85968340594107395</v>
      </c>
      <c r="V17" s="22">
        <v>0.80608583750326401</v>
      </c>
      <c r="W17" s="22"/>
      <c r="X17" s="22">
        <v>0.84063804454567803</v>
      </c>
      <c r="Y17" s="22">
        <v>0.81641247002241002</v>
      </c>
    </row>
    <row r="18" spans="2:25" x14ac:dyDescent="0.35">
      <c r="B18" s="16" t="s">
        <v>535</v>
      </c>
    </row>
    <row r="19" spans="2:25" x14ac:dyDescent="0.35">
      <c r="B19" t="s">
        <v>51</v>
      </c>
    </row>
    <row r="20" spans="2:25" x14ac:dyDescent="0.35">
      <c r="B20" t="s">
        <v>52</v>
      </c>
    </row>
    <row r="22" spans="2:25" x14ac:dyDescent="0.35">
      <c r="B22" s="8" t="str">
        <f>HYPERLINK("#'Contents'!A1", "Return to Contents")</f>
        <v>Return to Contents</v>
      </c>
    </row>
  </sheetData>
  <mergeCells count="5">
    <mergeCell ref="D5:E5"/>
    <mergeCell ref="G5:L5"/>
    <mergeCell ref="N5:V5"/>
    <mergeCell ref="X5:Y5"/>
    <mergeCell ref="D2:W2"/>
  </mergeCells>
  <pageMargins left="0.7" right="0.7" top="0.75" bottom="0.75" header="0.3" footer="0.3"/>
  <pageSetup paperSize="9" orientation="portrait" horizontalDpi="300" verticalDpi="300"/>
  <drawing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B2:Y22"/>
  <sheetViews>
    <sheetView showGridLines="0" topLeftCell="A7" workbookViewId="0">
      <pane xSplit="2" topLeftCell="C1" activePane="topRight" state="frozen"/>
      <selection pane="topRight" activeCell="B18" sqref="B18"/>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s>
  <sheetData>
    <row r="2" spans="2:25" ht="40" customHeight="1" x14ac:dyDescent="0.35">
      <c r="D2" s="30" t="s">
        <v>289</v>
      </c>
      <c r="E2" s="26"/>
      <c r="F2" s="26"/>
      <c r="G2" s="26"/>
      <c r="H2" s="26"/>
      <c r="I2" s="26"/>
      <c r="J2" s="26"/>
      <c r="K2" s="26"/>
      <c r="L2" s="26"/>
      <c r="M2" s="26"/>
      <c r="N2" s="26"/>
      <c r="O2" s="26"/>
      <c r="P2" s="26"/>
      <c r="Q2" s="26"/>
      <c r="R2" s="26"/>
      <c r="S2" s="26"/>
      <c r="T2" s="26"/>
      <c r="U2" s="26"/>
      <c r="V2" s="26"/>
      <c r="W2" s="26"/>
    </row>
    <row r="5" spans="2:25" ht="30" customHeight="1" x14ac:dyDescent="0.35">
      <c r="B5" s="15"/>
      <c r="C5" s="15"/>
      <c r="D5" s="29" t="s">
        <v>38</v>
      </c>
      <c r="E5" s="29"/>
      <c r="F5" s="15"/>
      <c r="G5" s="29" t="s">
        <v>39</v>
      </c>
      <c r="H5" s="29"/>
      <c r="I5" s="29"/>
      <c r="J5" s="29"/>
      <c r="K5" s="29"/>
      <c r="L5" s="29"/>
      <c r="M5" s="15"/>
      <c r="N5" s="29" t="s">
        <v>40</v>
      </c>
      <c r="O5" s="29"/>
      <c r="P5" s="29"/>
      <c r="Q5" s="29"/>
      <c r="R5" s="29"/>
      <c r="S5" s="29"/>
      <c r="T5" s="29"/>
      <c r="U5" s="29"/>
      <c r="V5" s="29"/>
      <c r="W5" s="15"/>
      <c r="X5" s="29" t="s">
        <v>41</v>
      </c>
      <c r="Y5" s="29"/>
    </row>
    <row r="6" spans="2:25" ht="29"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row>
    <row r="7" spans="2:25" ht="30" customHeight="1" x14ac:dyDescent="0.35">
      <c r="B7" s="10" t="s">
        <v>19</v>
      </c>
      <c r="C7" s="10">
        <v>1876</v>
      </c>
      <c r="D7" s="10">
        <v>916</v>
      </c>
      <c r="E7" s="10">
        <v>955</v>
      </c>
      <c r="F7" s="10"/>
      <c r="G7" s="10">
        <v>82</v>
      </c>
      <c r="H7" s="10">
        <v>441</v>
      </c>
      <c r="I7" s="10">
        <v>678</v>
      </c>
      <c r="J7" s="10">
        <v>511</v>
      </c>
      <c r="K7" s="10">
        <v>138</v>
      </c>
      <c r="L7" s="10">
        <v>26</v>
      </c>
      <c r="M7" s="10"/>
      <c r="N7" s="10">
        <v>56</v>
      </c>
      <c r="O7" s="10">
        <v>50</v>
      </c>
      <c r="P7" s="10">
        <v>277</v>
      </c>
      <c r="Q7" s="10">
        <v>183</v>
      </c>
      <c r="R7" s="10">
        <v>249</v>
      </c>
      <c r="S7" s="10">
        <v>213</v>
      </c>
      <c r="T7" s="10">
        <v>410</v>
      </c>
      <c r="U7" s="10">
        <v>329</v>
      </c>
      <c r="V7" s="10">
        <v>109</v>
      </c>
      <c r="W7" s="10"/>
      <c r="X7" s="10">
        <v>921</v>
      </c>
      <c r="Y7" s="10">
        <v>955</v>
      </c>
    </row>
    <row r="8" spans="2:25" ht="30" customHeight="1" x14ac:dyDescent="0.35">
      <c r="B8" s="11" t="s">
        <v>20</v>
      </c>
      <c r="C8" s="11">
        <v>1828</v>
      </c>
      <c r="D8" s="11">
        <v>932</v>
      </c>
      <c r="E8" s="11">
        <v>891</v>
      </c>
      <c r="F8" s="11"/>
      <c r="G8" s="11">
        <v>84</v>
      </c>
      <c r="H8" s="11">
        <v>413</v>
      </c>
      <c r="I8" s="11">
        <v>687</v>
      </c>
      <c r="J8" s="11">
        <v>488</v>
      </c>
      <c r="K8" s="11">
        <v>130</v>
      </c>
      <c r="L8" s="11">
        <v>27</v>
      </c>
      <c r="M8" s="11"/>
      <c r="N8" s="11">
        <v>57</v>
      </c>
      <c r="O8" s="11">
        <v>46</v>
      </c>
      <c r="P8" s="11">
        <v>282</v>
      </c>
      <c r="Q8" s="11">
        <v>186</v>
      </c>
      <c r="R8" s="11">
        <v>233</v>
      </c>
      <c r="S8" s="11">
        <v>217</v>
      </c>
      <c r="T8" s="11">
        <v>389</v>
      </c>
      <c r="U8" s="11">
        <v>306</v>
      </c>
      <c r="V8" s="11">
        <v>113</v>
      </c>
      <c r="W8" s="11"/>
      <c r="X8" s="11">
        <v>839</v>
      </c>
      <c r="Y8" s="11">
        <v>988</v>
      </c>
    </row>
    <row r="9" spans="2:25" x14ac:dyDescent="0.35">
      <c r="B9" s="18" t="s">
        <v>276</v>
      </c>
      <c r="C9" s="17">
        <v>0.39613859382116101</v>
      </c>
      <c r="D9" s="17">
        <v>0.36728067898810801</v>
      </c>
      <c r="E9" s="17">
        <v>0.426377360104578</v>
      </c>
      <c r="F9" s="17"/>
      <c r="G9" s="17">
        <v>0.25628010934461198</v>
      </c>
      <c r="H9" s="17">
        <v>0.36810816796511298</v>
      </c>
      <c r="I9" s="17">
        <v>0.42343799115466202</v>
      </c>
      <c r="J9" s="17">
        <v>0.39226763857261199</v>
      </c>
      <c r="K9" s="17">
        <v>0.43377099344854703</v>
      </c>
      <c r="L9" s="17">
        <v>0.45526694755719199</v>
      </c>
      <c r="M9" s="17"/>
      <c r="N9" s="17">
        <v>0.40825293616424502</v>
      </c>
      <c r="O9" s="17">
        <v>0.40470098900053297</v>
      </c>
      <c r="P9" s="17">
        <v>0.236606478032788</v>
      </c>
      <c r="Q9" s="17">
        <v>0.37520592724965901</v>
      </c>
      <c r="R9" s="17">
        <v>0.41519437995916297</v>
      </c>
      <c r="S9" s="17">
        <v>0.34015623902661801</v>
      </c>
      <c r="T9" s="17">
        <v>0.409702517302101</v>
      </c>
      <c r="U9" s="17">
        <v>0.56800061486519404</v>
      </c>
      <c r="V9" s="17">
        <v>0.37539272445481903</v>
      </c>
      <c r="W9" s="17"/>
      <c r="X9" s="17">
        <v>0.438746575729975</v>
      </c>
      <c r="Y9" s="17">
        <v>0.35994812173557</v>
      </c>
    </row>
    <row r="10" spans="2:25" x14ac:dyDescent="0.35">
      <c r="B10" s="18" t="s">
        <v>277</v>
      </c>
      <c r="C10" s="17">
        <v>0.380157249734767</v>
      </c>
      <c r="D10" s="17">
        <v>0.40130029767449898</v>
      </c>
      <c r="E10" s="17">
        <v>0.36012080465553897</v>
      </c>
      <c r="F10" s="17"/>
      <c r="G10" s="17">
        <v>0.50227637956375304</v>
      </c>
      <c r="H10" s="17">
        <v>0.386537368365033</v>
      </c>
      <c r="I10" s="17">
        <v>0.36500164785260902</v>
      </c>
      <c r="J10" s="17">
        <v>0.366596670340748</v>
      </c>
      <c r="K10" s="17">
        <v>0.414955137202907</v>
      </c>
      <c r="L10" s="17">
        <v>0.36611723131555901</v>
      </c>
      <c r="M10" s="17"/>
      <c r="N10" s="17">
        <v>0.45051095261712798</v>
      </c>
      <c r="O10" s="17">
        <v>0.33000788382396901</v>
      </c>
      <c r="P10" s="17">
        <v>0.42469516190145601</v>
      </c>
      <c r="Q10" s="17">
        <v>0.35935554396675201</v>
      </c>
      <c r="R10" s="17">
        <v>0.39683860470647703</v>
      </c>
      <c r="S10" s="17">
        <v>0.39397132791054401</v>
      </c>
      <c r="T10" s="17">
        <v>0.40779744356612802</v>
      </c>
      <c r="U10" s="17">
        <v>0.28262901972872201</v>
      </c>
      <c r="V10" s="17">
        <v>0.39572659121079101</v>
      </c>
      <c r="W10" s="17"/>
      <c r="X10" s="17">
        <v>0.37235625402182299</v>
      </c>
      <c r="Y10" s="17">
        <v>0.38678327858995498</v>
      </c>
    </row>
    <row r="11" spans="2:25" ht="29" x14ac:dyDescent="0.35">
      <c r="B11" s="18" t="s">
        <v>278</v>
      </c>
      <c r="C11" s="17">
        <v>0.149117822822425</v>
      </c>
      <c r="D11" s="17">
        <v>0.153404063733837</v>
      </c>
      <c r="E11" s="17">
        <v>0.143247202018259</v>
      </c>
      <c r="F11" s="17"/>
      <c r="G11" s="17">
        <v>0.18455431909717401</v>
      </c>
      <c r="H11" s="17">
        <v>0.16488001761312601</v>
      </c>
      <c r="I11" s="17">
        <v>0.144186065497421</v>
      </c>
      <c r="J11" s="17">
        <v>0.16230305285605101</v>
      </c>
      <c r="K11" s="17">
        <v>7.6206780577033603E-2</v>
      </c>
      <c r="L11" s="17">
        <v>3.3682081623624301E-2</v>
      </c>
      <c r="M11" s="17"/>
      <c r="N11" s="17">
        <v>6.7145475136142899E-2</v>
      </c>
      <c r="O11" s="17">
        <v>8.1345760048558396E-2</v>
      </c>
      <c r="P11" s="17">
        <v>0.21119696102093299</v>
      </c>
      <c r="Q11" s="17">
        <v>0.17390846614628</v>
      </c>
      <c r="R11" s="17">
        <v>0.15553266511091501</v>
      </c>
      <c r="S11" s="17">
        <v>0.16274864228401101</v>
      </c>
      <c r="T11" s="17">
        <v>0.134574301696778</v>
      </c>
      <c r="U11" s="17">
        <v>0.115701368840031</v>
      </c>
      <c r="V11" s="17">
        <v>0.123290536063783</v>
      </c>
      <c r="W11" s="17"/>
      <c r="X11" s="17">
        <v>0.133117585148437</v>
      </c>
      <c r="Y11" s="17">
        <v>0.16270814390692301</v>
      </c>
    </row>
    <row r="12" spans="2:25" x14ac:dyDescent="0.35">
      <c r="B12" s="18" t="s">
        <v>279</v>
      </c>
      <c r="C12" s="17">
        <v>3.4163048527950497E-2</v>
      </c>
      <c r="D12" s="17">
        <v>4.4540267947624099E-2</v>
      </c>
      <c r="E12" s="17">
        <v>2.3500066251265699E-2</v>
      </c>
      <c r="F12" s="17"/>
      <c r="G12" s="17">
        <v>3.8745829980646997E-2</v>
      </c>
      <c r="H12" s="17">
        <v>4.9541509605475299E-2</v>
      </c>
      <c r="I12" s="17">
        <v>3.0659990129763601E-2</v>
      </c>
      <c r="J12" s="17">
        <v>2.71818771558901E-2</v>
      </c>
      <c r="K12" s="17">
        <v>2.6925730755622101E-2</v>
      </c>
      <c r="L12" s="17">
        <v>3.4444496315355899E-2</v>
      </c>
      <c r="M12" s="17"/>
      <c r="N12" s="17">
        <v>4.0694134357366199E-2</v>
      </c>
      <c r="O12" s="17">
        <v>5.3240109231836599E-2</v>
      </c>
      <c r="P12" s="17">
        <v>4.6876867822577099E-2</v>
      </c>
      <c r="Q12" s="17">
        <v>4.8574039471148502E-2</v>
      </c>
      <c r="R12" s="17">
        <v>1.1129432267175899E-2</v>
      </c>
      <c r="S12" s="17">
        <v>3.5498394994651003E-2</v>
      </c>
      <c r="T12" s="17">
        <v>4.0736610286591098E-2</v>
      </c>
      <c r="U12" s="17">
        <v>9.1829500725435897E-3</v>
      </c>
      <c r="V12" s="17">
        <v>5.7710047678154699E-2</v>
      </c>
      <c r="W12" s="17"/>
      <c r="X12" s="17">
        <v>3.1652100244119498E-2</v>
      </c>
      <c r="Y12" s="17">
        <v>3.6295803934409898E-2</v>
      </c>
    </row>
    <row r="13" spans="2:25" x14ac:dyDescent="0.35">
      <c r="B13" s="18" t="s">
        <v>280</v>
      </c>
      <c r="C13" s="17">
        <v>1.4243064321053401E-2</v>
      </c>
      <c r="D13" s="17">
        <v>1.55248750347646E-2</v>
      </c>
      <c r="E13" s="17">
        <v>1.2980463417796699E-2</v>
      </c>
      <c r="F13" s="17"/>
      <c r="G13" s="17">
        <v>6.3553120603338101E-3</v>
      </c>
      <c r="H13" s="17">
        <v>8.4415238982642506E-3</v>
      </c>
      <c r="I13" s="17">
        <v>1.71483417858719E-2</v>
      </c>
      <c r="J13" s="17">
        <v>1.7015870171300702E-2</v>
      </c>
      <c r="K13" s="17">
        <v>1.4943270045756799E-2</v>
      </c>
      <c r="L13" s="17">
        <v>0</v>
      </c>
      <c r="M13" s="17"/>
      <c r="N13" s="17">
        <v>3.3396501725117503E-2</v>
      </c>
      <c r="O13" s="17">
        <v>4.13923235997967E-2</v>
      </c>
      <c r="P13" s="17">
        <v>4.0349606173022898E-2</v>
      </c>
      <c r="Q13" s="17">
        <v>1.0146801912690901E-2</v>
      </c>
      <c r="R13" s="17">
        <v>0</v>
      </c>
      <c r="S13" s="17">
        <v>9.26119956057808E-3</v>
      </c>
      <c r="T13" s="17">
        <v>7.1891271484027103E-3</v>
      </c>
      <c r="U13" s="17">
        <v>4.3007196293071799E-3</v>
      </c>
      <c r="V13" s="17">
        <v>2.5275781059389501E-2</v>
      </c>
      <c r="W13" s="17"/>
      <c r="X13" s="17">
        <v>1.0416158756958199E-2</v>
      </c>
      <c r="Y13" s="17">
        <v>1.7493570747008601E-2</v>
      </c>
    </row>
    <row r="14" spans="2:25" x14ac:dyDescent="0.35">
      <c r="B14" s="18" t="s">
        <v>162</v>
      </c>
      <c r="C14" s="17">
        <v>2.6180220772643099E-2</v>
      </c>
      <c r="D14" s="17">
        <v>1.7949816621167399E-2</v>
      </c>
      <c r="E14" s="17">
        <v>3.3774103552561399E-2</v>
      </c>
      <c r="F14" s="17"/>
      <c r="G14" s="17">
        <v>1.17880499534798E-2</v>
      </c>
      <c r="H14" s="17">
        <v>2.2491412552989001E-2</v>
      </c>
      <c r="I14" s="17">
        <v>1.95659635796726E-2</v>
      </c>
      <c r="J14" s="17">
        <v>3.4634890903397698E-2</v>
      </c>
      <c r="K14" s="17">
        <v>3.3198087970133502E-2</v>
      </c>
      <c r="L14" s="17">
        <v>0.110489243188269</v>
      </c>
      <c r="M14" s="17"/>
      <c r="N14" s="17">
        <v>0</v>
      </c>
      <c r="O14" s="17">
        <v>8.9312934295306706E-2</v>
      </c>
      <c r="P14" s="17">
        <v>4.0274925049224197E-2</v>
      </c>
      <c r="Q14" s="17">
        <v>3.2809221253469703E-2</v>
      </c>
      <c r="R14" s="17">
        <v>2.13049179562689E-2</v>
      </c>
      <c r="S14" s="17">
        <v>5.8364196223597703E-2</v>
      </c>
      <c r="T14" s="17">
        <v>0</v>
      </c>
      <c r="U14" s="17">
        <v>2.0185326864201301E-2</v>
      </c>
      <c r="V14" s="17">
        <v>2.26043195330623E-2</v>
      </c>
      <c r="W14" s="17"/>
      <c r="X14" s="17">
        <v>1.3711326098688E-2</v>
      </c>
      <c r="Y14" s="17">
        <v>3.6771081086133001E-2</v>
      </c>
    </row>
    <row r="15" spans="2:25" x14ac:dyDescent="0.35">
      <c r="B15" s="18" t="s">
        <v>281</v>
      </c>
      <c r="C15" s="21">
        <v>0.77629584355592796</v>
      </c>
      <c r="D15" s="21">
        <v>0.76858097666260705</v>
      </c>
      <c r="E15" s="21">
        <v>0.78649816476011702</v>
      </c>
      <c r="F15" s="21"/>
      <c r="G15" s="21">
        <v>0.75855648890836502</v>
      </c>
      <c r="H15" s="21">
        <v>0.75464553633014597</v>
      </c>
      <c r="I15" s="21">
        <v>0.78843963900727099</v>
      </c>
      <c r="J15" s="21">
        <v>0.75886430891335999</v>
      </c>
      <c r="K15" s="21">
        <v>0.84872613065145397</v>
      </c>
      <c r="L15" s="21">
        <v>0.82138417887275095</v>
      </c>
      <c r="M15" s="21"/>
      <c r="N15" s="21">
        <v>0.858763888781373</v>
      </c>
      <c r="O15" s="21">
        <v>0.73470887282450204</v>
      </c>
      <c r="P15" s="21">
        <v>0.66130163993424296</v>
      </c>
      <c r="Q15" s="21">
        <v>0.73456147121641002</v>
      </c>
      <c r="R15" s="21">
        <v>0.81203298466564</v>
      </c>
      <c r="S15" s="21">
        <v>0.73412756693716197</v>
      </c>
      <c r="T15" s="21">
        <v>0.81749996086822796</v>
      </c>
      <c r="U15" s="21">
        <v>0.85062963459391605</v>
      </c>
      <c r="V15" s="21">
        <v>0.77111931566560998</v>
      </c>
      <c r="W15" s="21"/>
      <c r="X15" s="21">
        <v>0.81110282975179804</v>
      </c>
      <c r="Y15" s="21">
        <v>0.74673140032552499</v>
      </c>
    </row>
    <row r="16" spans="2:25" x14ac:dyDescent="0.35">
      <c r="B16" s="18" t="s">
        <v>282</v>
      </c>
      <c r="C16" s="21">
        <v>4.8406112849003903E-2</v>
      </c>
      <c r="D16" s="21">
        <v>6.00651429823887E-2</v>
      </c>
      <c r="E16" s="21">
        <v>3.64805296690624E-2</v>
      </c>
      <c r="F16" s="21"/>
      <c r="G16" s="21">
        <v>4.5101142040980799E-2</v>
      </c>
      <c r="H16" s="21">
        <v>5.7983033503739498E-2</v>
      </c>
      <c r="I16" s="21">
        <v>4.78083319156355E-2</v>
      </c>
      <c r="J16" s="21">
        <v>4.4197747327190798E-2</v>
      </c>
      <c r="K16" s="21">
        <v>4.18690008013788E-2</v>
      </c>
      <c r="L16" s="21">
        <v>3.4444496315355899E-2</v>
      </c>
      <c r="M16" s="21"/>
      <c r="N16" s="21">
        <v>7.4090636082483702E-2</v>
      </c>
      <c r="O16" s="21">
        <v>9.4632432831633306E-2</v>
      </c>
      <c r="P16" s="21">
        <v>8.7226473995600004E-2</v>
      </c>
      <c r="Q16" s="21">
        <v>5.8720841383839401E-2</v>
      </c>
      <c r="R16" s="21">
        <v>1.1129432267175899E-2</v>
      </c>
      <c r="S16" s="21">
        <v>4.4759594555229099E-2</v>
      </c>
      <c r="T16" s="21">
        <v>4.7925737434993801E-2</v>
      </c>
      <c r="U16" s="21">
        <v>1.34836697018508E-2</v>
      </c>
      <c r="V16" s="21">
        <v>8.2985828737544204E-2</v>
      </c>
      <c r="W16" s="21"/>
      <c r="X16" s="21">
        <v>4.2068259001077697E-2</v>
      </c>
      <c r="Y16" s="21">
        <v>5.3789374681418499E-2</v>
      </c>
    </row>
    <row r="17" spans="2:25" x14ac:dyDescent="0.35">
      <c r="B17" s="18" t="s">
        <v>92</v>
      </c>
      <c r="C17" s="22">
        <v>0.72788973070692498</v>
      </c>
      <c r="D17" s="22">
        <v>0.70851583368021798</v>
      </c>
      <c r="E17" s="22">
        <v>0.75001763509105501</v>
      </c>
      <c r="F17" s="22"/>
      <c r="G17" s="22">
        <v>0.71345534686738399</v>
      </c>
      <c r="H17" s="22">
        <v>0.69666250282640596</v>
      </c>
      <c r="I17" s="22">
        <v>0.74063130709163605</v>
      </c>
      <c r="J17" s="22">
        <v>0.71466656158616904</v>
      </c>
      <c r="K17" s="22">
        <v>0.80685712985007496</v>
      </c>
      <c r="L17" s="22">
        <v>0.78693968255739499</v>
      </c>
      <c r="M17" s="22"/>
      <c r="N17" s="22">
        <v>0.78467325269888999</v>
      </c>
      <c r="O17" s="22">
        <v>0.64007643999286801</v>
      </c>
      <c r="P17" s="22">
        <v>0.57407516593864305</v>
      </c>
      <c r="Q17" s="22">
        <v>0.67584062983257098</v>
      </c>
      <c r="R17" s="22">
        <v>0.800903552398464</v>
      </c>
      <c r="S17" s="22">
        <v>0.68936797238193304</v>
      </c>
      <c r="T17" s="22">
        <v>0.76957422343323401</v>
      </c>
      <c r="U17" s="22">
        <v>0.83714596489206605</v>
      </c>
      <c r="V17" s="22">
        <v>0.68813348692806597</v>
      </c>
      <c r="W17" s="22"/>
      <c r="X17" s="22">
        <v>0.76903457075072001</v>
      </c>
      <c r="Y17" s="22">
        <v>0.69294202564410701</v>
      </c>
    </row>
    <row r="18" spans="2:25" x14ac:dyDescent="0.35">
      <c r="B18" s="16" t="s">
        <v>535</v>
      </c>
    </row>
    <row r="19" spans="2:25" x14ac:dyDescent="0.35">
      <c r="B19" t="s">
        <v>51</v>
      </c>
    </row>
    <row r="20" spans="2:25" x14ac:dyDescent="0.35">
      <c r="B20" t="s">
        <v>52</v>
      </c>
    </row>
    <row r="22" spans="2:25" x14ac:dyDescent="0.35">
      <c r="B22" s="8" t="str">
        <f>HYPERLINK("#'Contents'!A1", "Return to Contents")</f>
        <v>Return to Contents</v>
      </c>
    </row>
  </sheetData>
  <mergeCells count="5">
    <mergeCell ref="D5:E5"/>
    <mergeCell ref="G5:L5"/>
    <mergeCell ref="N5:V5"/>
    <mergeCell ref="X5:Y5"/>
    <mergeCell ref="D2:W2"/>
  </mergeCells>
  <pageMargins left="0.7" right="0.7" top="0.75" bottom="0.75" header="0.3" footer="0.3"/>
  <pageSetup paperSize="9" orientation="portrait" horizontalDpi="300" verticalDpi="300"/>
  <drawing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B2:Y22"/>
  <sheetViews>
    <sheetView showGridLines="0" topLeftCell="A7" workbookViewId="0">
      <pane xSplit="2" topLeftCell="C1" activePane="topRight" state="frozen"/>
      <selection pane="topRight" activeCell="B18" sqref="B18"/>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s>
  <sheetData>
    <row r="2" spans="2:25" ht="40" customHeight="1" x14ac:dyDescent="0.35">
      <c r="D2" s="30" t="s">
        <v>290</v>
      </c>
      <c r="E2" s="26"/>
      <c r="F2" s="26"/>
      <c r="G2" s="26"/>
      <c r="H2" s="26"/>
      <c r="I2" s="26"/>
      <c r="J2" s="26"/>
      <c r="K2" s="26"/>
      <c r="L2" s="26"/>
      <c r="M2" s="26"/>
      <c r="N2" s="26"/>
      <c r="O2" s="26"/>
      <c r="P2" s="26"/>
      <c r="Q2" s="26"/>
      <c r="R2" s="26"/>
      <c r="S2" s="26"/>
      <c r="T2" s="26"/>
      <c r="U2" s="26"/>
      <c r="V2" s="26"/>
      <c r="W2" s="26"/>
    </row>
    <row r="5" spans="2:25" ht="30" customHeight="1" x14ac:dyDescent="0.35">
      <c r="B5" s="15"/>
      <c r="C5" s="15"/>
      <c r="D5" s="29" t="s">
        <v>38</v>
      </c>
      <c r="E5" s="29"/>
      <c r="F5" s="15"/>
      <c r="G5" s="29" t="s">
        <v>39</v>
      </c>
      <c r="H5" s="29"/>
      <c r="I5" s="29"/>
      <c r="J5" s="29"/>
      <c r="K5" s="29"/>
      <c r="L5" s="29"/>
      <c r="M5" s="15"/>
      <c r="N5" s="29" t="s">
        <v>40</v>
      </c>
      <c r="O5" s="29"/>
      <c r="P5" s="29"/>
      <c r="Q5" s="29"/>
      <c r="R5" s="29"/>
      <c r="S5" s="29"/>
      <c r="T5" s="29"/>
      <c r="U5" s="29"/>
      <c r="V5" s="29"/>
      <c r="W5" s="15"/>
      <c r="X5" s="29" t="s">
        <v>41</v>
      </c>
      <c r="Y5" s="29"/>
    </row>
    <row r="6" spans="2:25" ht="29"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row>
    <row r="7" spans="2:25" ht="30" customHeight="1" x14ac:dyDescent="0.35">
      <c r="B7" s="10" t="s">
        <v>19</v>
      </c>
      <c r="C7" s="10">
        <v>1876</v>
      </c>
      <c r="D7" s="10">
        <v>916</v>
      </c>
      <c r="E7" s="10">
        <v>955</v>
      </c>
      <c r="F7" s="10"/>
      <c r="G7" s="10">
        <v>82</v>
      </c>
      <c r="H7" s="10">
        <v>441</v>
      </c>
      <c r="I7" s="10">
        <v>678</v>
      </c>
      <c r="J7" s="10">
        <v>511</v>
      </c>
      <c r="K7" s="10">
        <v>138</v>
      </c>
      <c r="L7" s="10">
        <v>26</v>
      </c>
      <c r="M7" s="10"/>
      <c r="N7" s="10">
        <v>56</v>
      </c>
      <c r="O7" s="10">
        <v>50</v>
      </c>
      <c r="P7" s="10">
        <v>277</v>
      </c>
      <c r="Q7" s="10">
        <v>183</v>
      </c>
      <c r="R7" s="10">
        <v>249</v>
      </c>
      <c r="S7" s="10">
        <v>213</v>
      </c>
      <c r="T7" s="10">
        <v>410</v>
      </c>
      <c r="U7" s="10">
        <v>329</v>
      </c>
      <c r="V7" s="10">
        <v>109</v>
      </c>
      <c r="W7" s="10"/>
      <c r="X7" s="10">
        <v>921</v>
      </c>
      <c r="Y7" s="10">
        <v>955</v>
      </c>
    </row>
    <row r="8" spans="2:25" ht="30" customHeight="1" x14ac:dyDescent="0.35">
      <c r="B8" s="11" t="s">
        <v>20</v>
      </c>
      <c r="C8" s="11">
        <v>1828</v>
      </c>
      <c r="D8" s="11">
        <v>932</v>
      </c>
      <c r="E8" s="11">
        <v>891</v>
      </c>
      <c r="F8" s="11"/>
      <c r="G8" s="11">
        <v>84</v>
      </c>
      <c r="H8" s="11">
        <v>413</v>
      </c>
      <c r="I8" s="11">
        <v>687</v>
      </c>
      <c r="J8" s="11">
        <v>488</v>
      </c>
      <c r="K8" s="11">
        <v>130</v>
      </c>
      <c r="L8" s="11">
        <v>27</v>
      </c>
      <c r="M8" s="11"/>
      <c r="N8" s="11">
        <v>57</v>
      </c>
      <c r="O8" s="11">
        <v>46</v>
      </c>
      <c r="P8" s="11">
        <v>282</v>
      </c>
      <c r="Q8" s="11">
        <v>186</v>
      </c>
      <c r="R8" s="11">
        <v>233</v>
      </c>
      <c r="S8" s="11">
        <v>217</v>
      </c>
      <c r="T8" s="11">
        <v>389</v>
      </c>
      <c r="U8" s="11">
        <v>306</v>
      </c>
      <c r="V8" s="11">
        <v>113</v>
      </c>
      <c r="W8" s="11"/>
      <c r="X8" s="11">
        <v>839</v>
      </c>
      <c r="Y8" s="11">
        <v>988</v>
      </c>
    </row>
    <row r="9" spans="2:25" x14ac:dyDescent="0.35">
      <c r="B9" s="18" t="s">
        <v>276</v>
      </c>
      <c r="C9" s="17">
        <v>0.30357540256983501</v>
      </c>
      <c r="D9" s="17">
        <v>0.28311285472977998</v>
      </c>
      <c r="E9" s="17">
        <v>0.32550963586130099</v>
      </c>
      <c r="F9" s="17"/>
      <c r="G9" s="17">
        <v>0.169597586641245</v>
      </c>
      <c r="H9" s="17">
        <v>0.25403123161034302</v>
      </c>
      <c r="I9" s="17">
        <v>0.33583877049201599</v>
      </c>
      <c r="J9" s="17">
        <v>0.31805053680266399</v>
      </c>
      <c r="K9" s="17">
        <v>0.30172942952452497</v>
      </c>
      <c r="L9" s="17">
        <v>0.406766611495677</v>
      </c>
      <c r="M9" s="17"/>
      <c r="N9" s="17">
        <v>0.29171840778604902</v>
      </c>
      <c r="O9" s="17">
        <v>0.23764989512373599</v>
      </c>
      <c r="P9" s="17">
        <v>0.16565209864245101</v>
      </c>
      <c r="Q9" s="17">
        <v>0.1559152928642</v>
      </c>
      <c r="R9" s="17">
        <v>0.37786969652416902</v>
      </c>
      <c r="S9" s="17">
        <v>0.245531475554814</v>
      </c>
      <c r="T9" s="17">
        <v>0.37018334666542002</v>
      </c>
      <c r="U9" s="17">
        <v>0.46912190135255899</v>
      </c>
      <c r="V9" s="17">
        <v>0.203560586100277</v>
      </c>
      <c r="W9" s="17"/>
      <c r="X9" s="17">
        <v>0.303049441773384</v>
      </c>
      <c r="Y9" s="17">
        <v>0.30402214444000403</v>
      </c>
    </row>
    <row r="10" spans="2:25" x14ac:dyDescent="0.35">
      <c r="B10" s="18" t="s">
        <v>277</v>
      </c>
      <c r="C10" s="17">
        <v>0.34942129339381001</v>
      </c>
      <c r="D10" s="17">
        <v>0.37521317339710297</v>
      </c>
      <c r="E10" s="17">
        <v>0.322293657127392</v>
      </c>
      <c r="F10" s="17"/>
      <c r="G10" s="17">
        <v>0.32487429680629698</v>
      </c>
      <c r="H10" s="17">
        <v>0.38463577492212397</v>
      </c>
      <c r="I10" s="17">
        <v>0.33716185019174499</v>
      </c>
      <c r="J10" s="17">
        <v>0.32315559029874802</v>
      </c>
      <c r="K10" s="17">
        <v>0.40007866700105998</v>
      </c>
      <c r="L10" s="17">
        <v>0.43040173111706398</v>
      </c>
      <c r="M10" s="17"/>
      <c r="N10" s="17">
        <v>0.19891344474219599</v>
      </c>
      <c r="O10" s="17">
        <v>0.40716804951996399</v>
      </c>
      <c r="P10" s="17">
        <v>0.31289747483485603</v>
      </c>
      <c r="Q10" s="17">
        <v>0.37506790749651497</v>
      </c>
      <c r="R10" s="17">
        <v>0.35617295707666302</v>
      </c>
      <c r="S10" s="17">
        <v>0.39092973566585298</v>
      </c>
      <c r="T10" s="17">
        <v>0.39914451766527997</v>
      </c>
      <c r="U10" s="17">
        <v>0.29072188470527899</v>
      </c>
      <c r="V10" s="17">
        <v>0.34560814872440498</v>
      </c>
      <c r="W10" s="17"/>
      <c r="X10" s="17">
        <v>0.35974839109956802</v>
      </c>
      <c r="Y10" s="17">
        <v>0.34064963783769198</v>
      </c>
    </row>
    <row r="11" spans="2:25" ht="29" x14ac:dyDescent="0.35">
      <c r="B11" s="18" t="s">
        <v>278</v>
      </c>
      <c r="C11" s="17">
        <v>0.209130662101735</v>
      </c>
      <c r="D11" s="17">
        <v>0.20881299146101501</v>
      </c>
      <c r="E11" s="17">
        <v>0.209487785397905</v>
      </c>
      <c r="F11" s="17"/>
      <c r="G11" s="17">
        <v>0.31111487815432998</v>
      </c>
      <c r="H11" s="17">
        <v>0.226362251028985</v>
      </c>
      <c r="I11" s="17">
        <v>0.20685817429721101</v>
      </c>
      <c r="J11" s="17">
        <v>0.197059448744765</v>
      </c>
      <c r="K11" s="17">
        <v>0.175562826709173</v>
      </c>
      <c r="L11" s="17">
        <v>6.3458417097505299E-2</v>
      </c>
      <c r="M11" s="17"/>
      <c r="N11" s="17">
        <v>0.284490657143323</v>
      </c>
      <c r="O11" s="17">
        <v>0.154655100224525</v>
      </c>
      <c r="P11" s="17">
        <v>0.286776101916346</v>
      </c>
      <c r="Q11" s="17">
        <v>0.23728794061531</v>
      </c>
      <c r="R11" s="17">
        <v>0.191410552684806</v>
      </c>
      <c r="S11" s="17">
        <v>0.17559502640788099</v>
      </c>
      <c r="T11" s="17">
        <v>0.192059712896018</v>
      </c>
      <c r="U11" s="17">
        <v>0.145077028469279</v>
      </c>
      <c r="V11" s="17">
        <v>0.28601546543659201</v>
      </c>
      <c r="W11" s="17"/>
      <c r="X11" s="17">
        <v>0.20426527062439601</v>
      </c>
      <c r="Y11" s="17">
        <v>0.213263240237516</v>
      </c>
    </row>
    <row r="12" spans="2:25" x14ac:dyDescent="0.35">
      <c r="B12" s="18" t="s">
        <v>279</v>
      </c>
      <c r="C12" s="17">
        <v>7.8186735020487494E-2</v>
      </c>
      <c r="D12" s="17">
        <v>7.7853915658912004E-2</v>
      </c>
      <c r="E12" s="17">
        <v>7.8959869737839999E-2</v>
      </c>
      <c r="F12" s="17"/>
      <c r="G12" s="17">
        <v>0.15189794097930701</v>
      </c>
      <c r="H12" s="17">
        <v>8.6118307581474998E-2</v>
      </c>
      <c r="I12" s="17">
        <v>6.3025167643400895E-2</v>
      </c>
      <c r="J12" s="17">
        <v>8.8045977578744702E-2</v>
      </c>
      <c r="K12" s="17">
        <v>5.7434043463285601E-2</v>
      </c>
      <c r="L12" s="17">
        <v>3.4444496315355899E-2</v>
      </c>
      <c r="M12" s="17"/>
      <c r="N12" s="17">
        <v>0.14323993569114199</v>
      </c>
      <c r="O12" s="17">
        <v>0.106680728068463</v>
      </c>
      <c r="P12" s="17">
        <v>0.125893604553419</v>
      </c>
      <c r="Q12" s="17">
        <v>0.116495933129718</v>
      </c>
      <c r="R12" s="17">
        <v>5.02062688358225E-2</v>
      </c>
      <c r="S12" s="17">
        <v>0.106930383604947</v>
      </c>
      <c r="T12" s="17">
        <v>1.7582266536574499E-2</v>
      </c>
      <c r="U12" s="17">
        <v>6.3338109183184693E-2</v>
      </c>
      <c r="V12" s="17">
        <v>0.10319142557557499</v>
      </c>
      <c r="W12" s="17"/>
      <c r="X12" s="17">
        <v>8.4892344087853899E-2</v>
      </c>
      <c r="Y12" s="17">
        <v>7.2491108358591697E-2</v>
      </c>
    </row>
    <row r="13" spans="2:25" x14ac:dyDescent="0.35">
      <c r="B13" s="18" t="s">
        <v>280</v>
      </c>
      <c r="C13" s="17">
        <v>3.4946837501972201E-2</v>
      </c>
      <c r="D13" s="17">
        <v>3.7115444630198599E-2</v>
      </c>
      <c r="E13" s="17">
        <v>3.2869734033780199E-2</v>
      </c>
      <c r="F13" s="17"/>
      <c r="G13" s="17">
        <v>3.0727247465341698E-2</v>
      </c>
      <c r="H13" s="17">
        <v>2.9037099460710199E-2</v>
      </c>
      <c r="I13" s="17">
        <v>3.5450875569806799E-2</v>
      </c>
      <c r="J13" s="17">
        <v>4.215446107813E-2</v>
      </c>
      <c r="K13" s="17">
        <v>2.06146162441979E-2</v>
      </c>
      <c r="L13" s="17">
        <v>6.4928743974397296E-2</v>
      </c>
      <c r="M13" s="17"/>
      <c r="N13" s="17">
        <v>8.1637554637289306E-2</v>
      </c>
      <c r="O13" s="17">
        <v>1.5418636836969901E-2</v>
      </c>
      <c r="P13" s="17">
        <v>5.88046923138342E-2</v>
      </c>
      <c r="Q13" s="17">
        <v>8.48624038102124E-2</v>
      </c>
      <c r="R13" s="17">
        <v>1.50264236085543E-2</v>
      </c>
      <c r="S13" s="17">
        <v>4.6177030610753803E-2</v>
      </c>
      <c r="T13" s="17">
        <v>1.21897782927127E-2</v>
      </c>
      <c r="U13" s="17">
        <v>8.8552533633552994E-3</v>
      </c>
      <c r="V13" s="17">
        <v>4.6123026088741199E-2</v>
      </c>
      <c r="W13" s="17"/>
      <c r="X13" s="17">
        <v>3.0061365341250802E-2</v>
      </c>
      <c r="Y13" s="17">
        <v>3.9096471817812603E-2</v>
      </c>
    </row>
    <row r="14" spans="2:25" x14ac:dyDescent="0.35">
      <c r="B14" s="18" t="s">
        <v>162</v>
      </c>
      <c r="C14" s="17">
        <v>2.4739069412160902E-2</v>
      </c>
      <c r="D14" s="17">
        <v>1.7891620122990601E-2</v>
      </c>
      <c r="E14" s="17">
        <v>3.0879317841781499E-2</v>
      </c>
      <c r="F14" s="17"/>
      <c r="G14" s="17">
        <v>1.17880499534798E-2</v>
      </c>
      <c r="H14" s="17">
        <v>1.98153353963628E-2</v>
      </c>
      <c r="I14" s="17">
        <v>2.1665161805819101E-2</v>
      </c>
      <c r="J14" s="17">
        <v>3.1533985496947699E-2</v>
      </c>
      <c r="K14" s="17">
        <v>4.4580417057759003E-2</v>
      </c>
      <c r="L14" s="17">
        <v>0</v>
      </c>
      <c r="M14" s="17"/>
      <c r="N14" s="17">
        <v>0</v>
      </c>
      <c r="O14" s="17">
        <v>7.8427590226341298E-2</v>
      </c>
      <c r="P14" s="17">
        <v>4.9976027739094202E-2</v>
      </c>
      <c r="Q14" s="17">
        <v>3.0370522084043401E-2</v>
      </c>
      <c r="R14" s="17">
        <v>9.3141012699855894E-3</v>
      </c>
      <c r="S14" s="17">
        <v>3.4836348155751103E-2</v>
      </c>
      <c r="T14" s="17">
        <v>8.8403779439948493E-3</v>
      </c>
      <c r="U14" s="17">
        <v>2.2885822926343499E-2</v>
      </c>
      <c r="V14" s="17">
        <v>1.55013480744093E-2</v>
      </c>
      <c r="W14" s="17"/>
      <c r="X14" s="17">
        <v>1.7983187073547801E-2</v>
      </c>
      <c r="Y14" s="17">
        <v>3.0477397308384099E-2</v>
      </c>
    </row>
    <row r="15" spans="2:25" x14ac:dyDescent="0.35">
      <c r="B15" s="18" t="s">
        <v>281</v>
      </c>
      <c r="C15" s="21">
        <v>0.65299669596364396</v>
      </c>
      <c r="D15" s="21">
        <v>0.65832602812688301</v>
      </c>
      <c r="E15" s="21">
        <v>0.64780329298869299</v>
      </c>
      <c r="F15" s="21"/>
      <c r="G15" s="21">
        <v>0.49447188344754101</v>
      </c>
      <c r="H15" s="21">
        <v>0.638667006532467</v>
      </c>
      <c r="I15" s="21">
        <v>0.67300062068376199</v>
      </c>
      <c r="J15" s="21">
        <v>0.641206127101412</v>
      </c>
      <c r="K15" s="21">
        <v>0.70180809652558496</v>
      </c>
      <c r="L15" s="21">
        <v>0.83716834261274198</v>
      </c>
      <c r="M15" s="21"/>
      <c r="N15" s="21">
        <v>0.49063185252824598</v>
      </c>
      <c r="O15" s="21">
        <v>0.64481794464370101</v>
      </c>
      <c r="P15" s="21">
        <v>0.47854957347730598</v>
      </c>
      <c r="Q15" s="21">
        <v>0.530983200360715</v>
      </c>
      <c r="R15" s="21">
        <v>0.73404265360083099</v>
      </c>
      <c r="S15" s="21">
        <v>0.63646121122066701</v>
      </c>
      <c r="T15" s="21">
        <v>0.7693278643307</v>
      </c>
      <c r="U15" s="21">
        <v>0.75984378605783798</v>
      </c>
      <c r="V15" s="21">
        <v>0.54916873482468198</v>
      </c>
      <c r="W15" s="21"/>
      <c r="X15" s="21">
        <v>0.66279783287295202</v>
      </c>
      <c r="Y15" s="21">
        <v>0.64467178227769495</v>
      </c>
    </row>
    <row r="16" spans="2:25" x14ac:dyDescent="0.35">
      <c r="B16" s="18" t="s">
        <v>282</v>
      </c>
      <c r="C16" s="21">
        <v>0.11313357252245999</v>
      </c>
      <c r="D16" s="21">
        <v>0.11496936028911101</v>
      </c>
      <c r="E16" s="21">
        <v>0.11182960377162</v>
      </c>
      <c r="F16" s="21"/>
      <c r="G16" s="21">
        <v>0.18262518844464801</v>
      </c>
      <c r="H16" s="21">
        <v>0.11515540704218501</v>
      </c>
      <c r="I16" s="21">
        <v>9.8476043213207798E-2</v>
      </c>
      <c r="J16" s="21">
        <v>0.130200438656875</v>
      </c>
      <c r="K16" s="21">
        <v>7.8048659707483495E-2</v>
      </c>
      <c r="L16" s="21">
        <v>9.9373240289753195E-2</v>
      </c>
      <c r="M16" s="21"/>
      <c r="N16" s="21">
        <v>0.22487749032843099</v>
      </c>
      <c r="O16" s="21">
        <v>0.12209936490543299</v>
      </c>
      <c r="P16" s="21">
        <v>0.184698296867253</v>
      </c>
      <c r="Q16" s="21">
        <v>0.20135833693993099</v>
      </c>
      <c r="R16" s="21">
        <v>6.5232692444376794E-2</v>
      </c>
      <c r="S16" s="21">
        <v>0.15310741421570001</v>
      </c>
      <c r="T16" s="21">
        <v>2.9772044829287199E-2</v>
      </c>
      <c r="U16" s="21">
        <v>7.2193362546540005E-2</v>
      </c>
      <c r="V16" s="21">
        <v>0.14931445166431601</v>
      </c>
      <c r="W16" s="21"/>
      <c r="X16" s="21">
        <v>0.114953709429105</v>
      </c>
      <c r="Y16" s="21">
        <v>0.11158758017640399</v>
      </c>
    </row>
    <row r="17" spans="2:25" x14ac:dyDescent="0.35">
      <c r="B17" s="18" t="s">
        <v>92</v>
      </c>
      <c r="C17" s="22">
        <v>0.53986312344118503</v>
      </c>
      <c r="D17" s="22">
        <v>0.54335666783777303</v>
      </c>
      <c r="E17" s="22">
        <v>0.535973689217073</v>
      </c>
      <c r="F17" s="22"/>
      <c r="G17" s="22">
        <v>0.31184669500289303</v>
      </c>
      <c r="H17" s="22">
        <v>0.52351159949028103</v>
      </c>
      <c r="I17" s="22">
        <v>0.57452457747055397</v>
      </c>
      <c r="J17" s="22">
        <v>0.51100568844453798</v>
      </c>
      <c r="K17" s="22">
        <v>0.62375943681810098</v>
      </c>
      <c r="L17" s="22">
        <v>0.73779510232298795</v>
      </c>
      <c r="M17" s="22"/>
      <c r="N17" s="22">
        <v>0.26575436219981502</v>
      </c>
      <c r="O17" s="22">
        <v>0.52271857973826796</v>
      </c>
      <c r="P17" s="22">
        <v>0.293851276610053</v>
      </c>
      <c r="Q17" s="22">
        <v>0.32962486342078501</v>
      </c>
      <c r="R17" s="22">
        <v>0.66880996115645397</v>
      </c>
      <c r="S17" s="22">
        <v>0.483353797004967</v>
      </c>
      <c r="T17" s="22">
        <v>0.73955581950141303</v>
      </c>
      <c r="U17" s="22">
        <v>0.68765042351129801</v>
      </c>
      <c r="V17" s="22">
        <v>0.39985428316036598</v>
      </c>
      <c r="W17" s="22"/>
      <c r="X17" s="22">
        <v>0.54784412344384703</v>
      </c>
      <c r="Y17" s="22">
        <v>0.53308420210129104</v>
      </c>
    </row>
    <row r="18" spans="2:25" x14ac:dyDescent="0.35">
      <c r="B18" s="16" t="s">
        <v>535</v>
      </c>
    </row>
    <row r="19" spans="2:25" x14ac:dyDescent="0.35">
      <c r="B19" t="s">
        <v>51</v>
      </c>
    </row>
    <row r="20" spans="2:25" x14ac:dyDescent="0.35">
      <c r="B20" t="s">
        <v>52</v>
      </c>
    </row>
    <row r="22" spans="2:25" x14ac:dyDescent="0.35">
      <c r="B22" s="8" t="str">
        <f>HYPERLINK("#'Contents'!A1", "Return to Contents")</f>
        <v>Return to Contents</v>
      </c>
    </row>
  </sheetData>
  <mergeCells count="5">
    <mergeCell ref="D5:E5"/>
    <mergeCell ref="G5:L5"/>
    <mergeCell ref="N5:V5"/>
    <mergeCell ref="X5:Y5"/>
    <mergeCell ref="D2:W2"/>
  </mergeCells>
  <pageMargins left="0.7" right="0.7" top="0.75" bottom="0.75" header="0.3" footer="0.3"/>
  <pageSetup paperSize="9" orientation="portrait" horizontalDpi="300" verticalDpi="300"/>
  <drawing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B2:Y22"/>
  <sheetViews>
    <sheetView showGridLines="0" topLeftCell="A7" workbookViewId="0">
      <pane xSplit="2" topLeftCell="C1" activePane="topRight" state="frozen"/>
      <selection pane="topRight" activeCell="B18" sqref="B18"/>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s>
  <sheetData>
    <row r="2" spans="2:25" ht="40" customHeight="1" x14ac:dyDescent="0.35">
      <c r="D2" s="30" t="s">
        <v>291</v>
      </c>
      <c r="E2" s="26"/>
      <c r="F2" s="26"/>
      <c r="G2" s="26"/>
      <c r="H2" s="26"/>
      <c r="I2" s="26"/>
      <c r="J2" s="26"/>
      <c r="K2" s="26"/>
      <c r="L2" s="26"/>
      <c r="M2" s="26"/>
      <c r="N2" s="26"/>
      <c r="O2" s="26"/>
      <c r="P2" s="26"/>
      <c r="Q2" s="26"/>
      <c r="R2" s="26"/>
      <c r="S2" s="26"/>
      <c r="T2" s="26"/>
      <c r="U2" s="26"/>
      <c r="V2" s="26"/>
      <c r="W2" s="26"/>
    </row>
    <row r="5" spans="2:25" ht="30" customHeight="1" x14ac:dyDescent="0.35">
      <c r="B5" s="15"/>
      <c r="C5" s="15"/>
      <c r="D5" s="29" t="s">
        <v>38</v>
      </c>
      <c r="E5" s="29"/>
      <c r="F5" s="15"/>
      <c r="G5" s="29" t="s">
        <v>39</v>
      </c>
      <c r="H5" s="29"/>
      <c r="I5" s="29"/>
      <c r="J5" s="29"/>
      <c r="K5" s="29"/>
      <c r="L5" s="29"/>
      <c r="M5" s="15"/>
      <c r="N5" s="29" t="s">
        <v>40</v>
      </c>
      <c r="O5" s="29"/>
      <c r="P5" s="29"/>
      <c r="Q5" s="29"/>
      <c r="R5" s="29"/>
      <c r="S5" s="29"/>
      <c r="T5" s="29"/>
      <c r="U5" s="29"/>
      <c r="V5" s="29"/>
      <c r="W5" s="15"/>
      <c r="X5" s="29" t="s">
        <v>41</v>
      </c>
      <c r="Y5" s="29"/>
    </row>
    <row r="6" spans="2:25" ht="29"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row>
    <row r="7" spans="2:25" ht="30" customHeight="1" x14ac:dyDescent="0.35">
      <c r="B7" s="10" t="s">
        <v>19</v>
      </c>
      <c r="C7" s="10">
        <v>1876</v>
      </c>
      <c r="D7" s="10">
        <v>916</v>
      </c>
      <c r="E7" s="10">
        <v>955</v>
      </c>
      <c r="F7" s="10"/>
      <c r="G7" s="10">
        <v>82</v>
      </c>
      <c r="H7" s="10">
        <v>441</v>
      </c>
      <c r="I7" s="10">
        <v>678</v>
      </c>
      <c r="J7" s="10">
        <v>511</v>
      </c>
      <c r="K7" s="10">
        <v>138</v>
      </c>
      <c r="L7" s="10">
        <v>26</v>
      </c>
      <c r="M7" s="10"/>
      <c r="N7" s="10">
        <v>56</v>
      </c>
      <c r="O7" s="10">
        <v>50</v>
      </c>
      <c r="P7" s="10">
        <v>277</v>
      </c>
      <c r="Q7" s="10">
        <v>183</v>
      </c>
      <c r="R7" s="10">
        <v>249</v>
      </c>
      <c r="S7" s="10">
        <v>213</v>
      </c>
      <c r="T7" s="10">
        <v>410</v>
      </c>
      <c r="U7" s="10">
        <v>329</v>
      </c>
      <c r="V7" s="10">
        <v>109</v>
      </c>
      <c r="W7" s="10"/>
      <c r="X7" s="10">
        <v>921</v>
      </c>
      <c r="Y7" s="10">
        <v>955</v>
      </c>
    </row>
    <row r="8" spans="2:25" ht="30" customHeight="1" x14ac:dyDescent="0.35">
      <c r="B8" s="11" t="s">
        <v>20</v>
      </c>
      <c r="C8" s="11">
        <v>1828</v>
      </c>
      <c r="D8" s="11">
        <v>932</v>
      </c>
      <c r="E8" s="11">
        <v>891</v>
      </c>
      <c r="F8" s="11"/>
      <c r="G8" s="11">
        <v>84</v>
      </c>
      <c r="H8" s="11">
        <v>413</v>
      </c>
      <c r="I8" s="11">
        <v>687</v>
      </c>
      <c r="J8" s="11">
        <v>488</v>
      </c>
      <c r="K8" s="11">
        <v>130</v>
      </c>
      <c r="L8" s="11">
        <v>27</v>
      </c>
      <c r="M8" s="11"/>
      <c r="N8" s="11">
        <v>57</v>
      </c>
      <c r="O8" s="11">
        <v>46</v>
      </c>
      <c r="P8" s="11">
        <v>282</v>
      </c>
      <c r="Q8" s="11">
        <v>186</v>
      </c>
      <c r="R8" s="11">
        <v>233</v>
      </c>
      <c r="S8" s="11">
        <v>217</v>
      </c>
      <c r="T8" s="11">
        <v>389</v>
      </c>
      <c r="U8" s="11">
        <v>306</v>
      </c>
      <c r="V8" s="11">
        <v>113</v>
      </c>
      <c r="W8" s="11"/>
      <c r="X8" s="11">
        <v>839</v>
      </c>
      <c r="Y8" s="11">
        <v>988</v>
      </c>
    </row>
    <row r="9" spans="2:25" x14ac:dyDescent="0.35">
      <c r="B9" s="18" t="s">
        <v>276</v>
      </c>
      <c r="C9" s="17">
        <v>0.223731337427854</v>
      </c>
      <c r="D9" s="17">
        <v>0.217469720300842</v>
      </c>
      <c r="E9" s="17">
        <v>0.22940943903984901</v>
      </c>
      <c r="F9" s="17"/>
      <c r="G9" s="17">
        <v>0.14041397851114101</v>
      </c>
      <c r="H9" s="17">
        <v>0.23670026815630099</v>
      </c>
      <c r="I9" s="17">
        <v>0.240970754808041</v>
      </c>
      <c r="J9" s="17">
        <v>0.19606276565248601</v>
      </c>
      <c r="K9" s="17">
        <v>0.23408434145908799</v>
      </c>
      <c r="L9" s="17">
        <v>0.296571100237013</v>
      </c>
      <c r="M9" s="17"/>
      <c r="N9" s="17">
        <v>0.27578286599449697</v>
      </c>
      <c r="O9" s="17">
        <v>0.24334148908574499</v>
      </c>
      <c r="P9" s="17">
        <v>0.13088076509161101</v>
      </c>
      <c r="Q9" s="17">
        <v>0.11203136675464</v>
      </c>
      <c r="R9" s="17">
        <v>0.25608463245720298</v>
      </c>
      <c r="S9" s="17">
        <v>0.16876343701041199</v>
      </c>
      <c r="T9" s="17">
        <v>0.29857584059236297</v>
      </c>
      <c r="U9" s="17">
        <v>0.30190908253896598</v>
      </c>
      <c r="V9" s="17">
        <v>0.17405960791785099</v>
      </c>
      <c r="W9" s="17"/>
      <c r="X9" s="17">
        <v>0.22909397480896199</v>
      </c>
      <c r="Y9" s="17">
        <v>0.21917640734781699</v>
      </c>
    </row>
    <row r="10" spans="2:25" x14ac:dyDescent="0.35">
      <c r="B10" s="18" t="s">
        <v>277</v>
      </c>
      <c r="C10" s="17">
        <v>0.317163749480803</v>
      </c>
      <c r="D10" s="17">
        <v>0.31239094288401897</v>
      </c>
      <c r="E10" s="17">
        <v>0.322789953123021</v>
      </c>
      <c r="F10" s="17"/>
      <c r="G10" s="17">
        <v>0.27845063225164002</v>
      </c>
      <c r="H10" s="17">
        <v>0.31458011622721999</v>
      </c>
      <c r="I10" s="17">
        <v>0.326260790127961</v>
      </c>
      <c r="J10" s="17">
        <v>0.32301144514233998</v>
      </c>
      <c r="K10" s="17">
        <v>0.27531569040663201</v>
      </c>
      <c r="L10" s="17">
        <v>0.34154345597263902</v>
      </c>
      <c r="M10" s="17"/>
      <c r="N10" s="17">
        <v>0.14612389707120399</v>
      </c>
      <c r="O10" s="17">
        <v>0.195843397403276</v>
      </c>
      <c r="P10" s="17">
        <v>0.29782553902870401</v>
      </c>
      <c r="Q10" s="17">
        <v>0.29025201665429901</v>
      </c>
      <c r="R10" s="17">
        <v>0.28886893481736697</v>
      </c>
      <c r="S10" s="17">
        <v>0.32817311132793298</v>
      </c>
      <c r="T10" s="17">
        <v>0.39085013089996601</v>
      </c>
      <c r="U10" s="17">
        <v>0.34564974462501402</v>
      </c>
      <c r="V10" s="17">
        <v>0.251364458550281</v>
      </c>
      <c r="W10" s="17"/>
      <c r="X10" s="17">
        <v>0.33731565233412802</v>
      </c>
      <c r="Y10" s="17">
        <v>0.30004707685252302</v>
      </c>
    </row>
    <row r="11" spans="2:25" ht="29" x14ac:dyDescent="0.35">
      <c r="B11" s="18" t="s">
        <v>278</v>
      </c>
      <c r="C11" s="17">
        <v>0.28800316792915098</v>
      </c>
      <c r="D11" s="17">
        <v>0.31140728275084201</v>
      </c>
      <c r="E11" s="17">
        <v>0.26283660718021501</v>
      </c>
      <c r="F11" s="17"/>
      <c r="G11" s="17">
        <v>0.35616889689256498</v>
      </c>
      <c r="H11" s="17">
        <v>0.275833620874262</v>
      </c>
      <c r="I11" s="17">
        <v>0.28862767125726502</v>
      </c>
      <c r="J11" s="17">
        <v>0.27360398365959598</v>
      </c>
      <c r="K11" s="17">
        <v>0.34862536437757102</v>
      </c>
      <c r="L11" s="17">
        <v>0.21421693370393399</v>
      </c>
      <c r="M11" s="17"/>
      <c r="N11" s="17">
        <v>0.25374755573388202</v>
      </c>
      <c r="O11" s="17">
        <v>0.26308050405639399</v>
      </c>
      <c r="P11" s="17">
        <v>0.298484974692525</v>
      </c>
      <c r="Q11" s="17">
        <v>0.30849275712376301</v>
      </c>
      <c r="R11" s="17">
        <v>0.330304870087755</v>
      </c>
      <c r="S11" s="17">
        <v>0.30888034878727599</v>
      </c>
      <c r="T11" s="17">
        <v>0.243623437434902</v>
      </c>
      <c r="U11" s="17">
        <v>0.238255945371669</v>
      </c>
      <c r="V11" s="17">
        <v>0.416312865392922</v>
      </c>
      <c r="W11" s="17"/>
      <c r="X11" s="17">
        <v>0.28743006728103399</v>
      </c>
      <c r="Y11" s="17">
        <v>0.28848994956204699</v>
      </c>
    </row>
    <row r="12" spans="2:25" x14ac:dyDescent="0.35">
      <c r="B12" s="18" t="s">
        <v>279</v>
      </c>
      <c r="C12" s="17">
        <v>9.6446363869817406E-2</v>
      </c>
      <c r="D12" s="17">
        <v>9.29525842320192E-2</v>
      </c>
      <c r="E12" s="17">
        <v>0.100623393502854</v>
      </c>
      <c r="F12" s="17"/>
      <c r="G12" s="17">
        <v>0.187357768288827</v>
      </c>
      <c r="H12" s="17">
        <v>0.100737115691393</v>
      </c>
      <c r="I12" s="17">
        <v>6.9856222240172697E-2</v>
      </c>
      <c r="J12" s="17">
        <v>0.12310871483731201</v>
      </c>
      <c r="K12" s="17">
        <v>7.0597800508539393E-2</v>
      </c>
      <c r="L12" s="17">
        <v>6.6937044607252E-2</v>
      </c>
      <c r="M12" s="17"/>
      <c r="N12" s="17">
        <v>0.205232123464276</v>
      </c>
      <c r="O12" s="17">
        <v>7.9482804577993296E-2</v>
      </c>
      <c r="P12" s="17">
        <v>0.14235091027281899</v>
      </c>
      <c r="Q12" s="17">
        <v>0.15774942971888001</v>
      </c>
      <c r="R12" s="17">
        <v>9.3618962722775104E-2</v>
      </c>
      <c r="S12" s="17">
        <v>9.9663196503649895E-2</v>
      </c>
      <c r="T12" s="17">
        <v>4.76677136474064E-2</v>
      </c>
      <c r="U12" s="17">
        <v>6.7352726234269397E-2</v>
      </c>
      <c r="V12" s="17">
        <v>7.9124484623325705E-2</v>
      </c>
      <c r="W12" s="17"/>
      <c r="X12" s="17">
        <v>8.7917759578463595E-2</v>
      </c>
      <c r="Y12" s="17">
        <v>0.103690410682357</v>
      </c>
    </row>
    <row r="13" spans="2:25" x14ac:dyDescent="0.35">
      <c r="B13" s="18" t="s">
        <v>280</v>
      </c>
      <c r="C13" s="17">
        <v>4.9603506649599997E-2</v>
      </c>
      <c r="D13" s="17">
        <v>4.46716253318859E-2</v>
      </c>
      <c r="E13" s="17">
        <v>5.50292472678015E-2</v>
      </c>
      <c r="F13" s="17"/>
      <c r="G13" s="17">
        <v>3.7608724055826999E-2</v>
      </c>
      <c r="H13" s="17">
        <v>5.4158318360527598E-2</v>
      </c>
      <c r="I13" s="17">
        <v>5.4555907392837097E-2</v>
      </c>
      <c r="J13" s="17">
        <v>4.3853632995386103E-2</v>
      </c>
      <c r="K13" s="17">
        <v>4.1501769710205499E-2</v>
      </c>
      <c r="L13" s="17">
        <v>3.3700639388398297E-2</v>
      </c>
      <c r="M13" s="17"/>
      <c r="N13" s="17">
        <v>0.10422394284541001</v>
      </c>
      <c r="O13" s="17">
        <v>0.109432296434832</v>
      </c>
      <c r="P13" s="17">
        <v>8.7987025349234096E-2</v>
      </c>
      <c r="Q13" s="17">
        <v>9.9003054143674205E-2</v>
      </c>
      <c r="R13" s="17">
        <v>7.35992555155748E-3</v>
      </c>
      <c r="S13" s="17">
        <v>6.6768298962036607E-2</v>
      </c>
      <c r="T13" s="17">
        <v>1.39169282597004E-2</v>
      </c>
      <c r="U13" s="17">
        <v>2.5747288968631901E-2</v>
      </c>
      <c r="V13" s="17">
        <v>6.24392725250466E-2</v>
      </c>
      <c r="W13" s="17"/>
      <c r="X13" s="17">
        <v>3.92369405759707E-2</v>
      </c>
      <c r="Y13" s="17">
        <v>5.8408685944738303E-2</v>
      </c>
    </row>
    <row r="14" spans="2:25" x14ac:dyDescent="0.35">
      <c r="B14" s="18" t="s">
        <v>162</v>
      </c>
      <c r="C14" s="17">
        <v>2.50518746427741E-2</v>
      </c>
      <c r="D14" s="17">
        <v>2.1107844500392402E-2</v>
      </c>
      <c r="E14" s="17">
        <v>2.9311359886259401E-2</v>
      </c>
      <c r="F14" s="17"/>
      <c r="G14" s="17">
        <v>0</v>
      </c>
      <c r="H14" s="17">
        <v>1.7990560690296802E-2</v>
      </c>
      <c r="I14" s="17">
        <v>1.9728654173722399E-2</v>
      </c>
      <c r="J14" s="17">
        <v>4.0359457712879999E-2</v>
      </c>
      <c r="K14" s="17">
        <v>2.9875033537964599E-2</v>
      </c>
      <c r="L14" s="17">
        <v>4.70308260907637E-2</v>
      </c>
      <c r="M14" s="17"/>
      <c r="N14" s="17">
        <v>1.48896148907315E-2</v>
      </c>
      <c r="O14" s="17">
        <v>0.10881950844176</v>
      </c>
      <c r="P14" s="17">
        <v>4.2470785565106299E-2</v>
      </c>
      <c r="Q14" s="17">
        <v>3.2471375604743703E-2</v>
      </c>
      <c r="R14" s="17">
        <v>2.37626743633421E-2</v>
      </c>
      <c r="S14" s="17">
        <v>2.7751607408693601E-2</v>
      </c>
      <c r="T14" s="17">
        <v>5.36594916566228E-3</v>
      </c>
      <c r="U14" s="17">
        <v>2.10852122614495E-2</v>
      </c>
      <c r="V14" s="17">
        <v>1.6699310990572699E-2</v>
      </c>
      <c r="W14" s="17"/>
      <c r="X14" s="17">
        <v>1.9005605421441901E-2</v>
      </c>
      <c r="Y14" s="17">
        <v>3.0187469610517201E-2</v>
      </c>
    </row>
    <row r="15" spans="2:25" x14ac:dyDescent="0.35">
      <c r="B15" s="18" t="s">
        <v>281</v>
      </c>
      <c r="C15" s="21">
        <v>0.54089508690865695</v>
      </c>
      <c r="D15" s="21">
        <v>0.52986066318486102</v>
      </c>
      <c r="E15" s="21">
        <v>0.55219939216286995</v>
      </c>
      <c r="F15" s="21"/>
      <c r="G15" s="21">
        <v>0.41886461076278098</v>
      </c>
      <c r="H15" s="21">
        <v>0.551280384383521</v>
      </c>
      <c r="I15" s="21">
        <v>0.56723154493600303</v>
      </c>
      <c r="J15" s="21">
        <v>0.51907421079482596</v>
      </c>
      <c r="K15" s="21">
        <v>0.50940003186571903</v>
      </c>
      <c r="L15" s="21">
        <v>0.63811455620965196</v>
      </c>
      <c r="M15" s="21"/>
      <c r="N15" s="21">
        <v>0.42190676306570102</v>
      </c>
      <c r="O15" s="21">
        <v>0.43918488648902099</v>
      </c>
      <c r="P15" s="21">
        <v>0.42870630412031502</v>
      </c>
      <c r="Q15" s="21">
        <v>0.40228338340893899</v>
      </c>
      <c r="R15" s="21">
        <v>0.544953567274571</v>
      </c>
      <c r="S15" s="21">
        <v>0.496936548338344</v>
      </c>
      <c r="T15" s="21">
        <v>0.68942597149232898</v>
      </c>
      <c r="U15" s="21">
        <v>0.64755882716398006</v>
      </c>
      <c r="V15" s="21">
        <v>0.42542406646813302</v>
      </c>
      <c r="W15" s="21"/>
      <c r="X15" s="21">
        <v>0.56640962714308996</v>
      </c>
      <c r="Y15" s="21">
        <v>0.51922348420034103</v>
      </c>
    </row>
    <row r="16" spans="2:25" x14ac:dyDescent="0.35">
      <c r="B16" s="18" t="s">
        <v>282</v>
      </c>
      <c r="C16" s="21">
        <v>0.14604987051941701</v>
      </c>
      <c r="D16" s="21">
        <v>0.137624209563905</v>
      </c>
      <c r="E16" s="21">
        <v>0.15565264077065499</v>
      </c>
      <c r="F16" s="21"/>
      <c r="G16" s="21">
        <v>0.22496649234465399</v>
      </c>
      <c r="H16" s="21">
        <v>0.15489543405192099</v>
      </c>
      <c r="I16" s="21">
        <v>0.12441212963301</v>
      </c>
      <c r="J16" s="21">
        <v>0.166962347832698</v>
      </c>
      <c r="K16" s="21">
        <v>0.112099570218745</v>
      </c>
      <c r="L16" s="21">
        <v>0.10063768399565</v>
      </c>
      <c r="M16" s="21"/>
      <c r="N16" s="21">
        <v>0.30945606630968597</v>
      </c>
      <c r="O16" s="21">
        <v>0.18891510101282499</v>
      </c>
      <c r="P16" s="21">
        <v>0.23033793562205301</v>
      </c>
      <c r="Q16" s="21">
        <v>0.256752483862555</v>
      </c>
      <c r="R16" s="21">
        <v>0.100978888274333</v>
      </c>
      <c r="S16" s="21">
        <v>0.166431495465687</v>
      </c>
      <c r="T16" s="21">
        <v>6.1584641907106899E-2</v>
      </c>
      <c r="U16" s="21">
        <v>9.3100015202901301E-2</v>
      </c>
      <c r="V16" s="21">
        <v>0.14156375714837199</v>
      </c>
      <c r="W16" s="21"/>
      <c r="X16" s="21">
        <v>0.127154700154434</v>
      </c>
      <c r="Y16" s="21">
        <v>0.16209909662709601</v>
      </c>
    </row>
    <row r="17" spans="2:25" x14ac:dyDescent="0.35">
      <c r="B17" s="18" t="s">
        <v>92</v>
      </c>
      <c r="C17" s="22">
        <v>0.39484521638923997</v>
      </c>
      <c r="D17" s="22">
        <v>0.39223645362095599</v>
      </c>
      <c r="E17" s="22">
        <v>0.39654675139221501</v>
      </c>
      <c r="F17" s="22"/>
      <c r="G17" s="22">
        <v>0.19389811841812701</v>
      </c>
      <c r="H17" s="22">
        <v>0.39638495033159998</v>
      </c>
      <c r="I17" s="22">
        <v>0.44281941530299301</v>
      </c>
      <c r="J17" s="22">
        <v>0.35211186296212799</v>
      </c>
      <c r="K17" s="22">
        <v>0.39730046164697402</v>
      </c>
      <c r="L17" s="22">
        <v>0.53747687221400198</v>
      </c>
      <c r="M17" s="22"/>
      <c r="N17" s="22">
        <v>0.112450696756014</v>
      </c>
      <c r="O17" s="22">
        <v>0.25026978547619499</v>
      </c>
      <c r="P17" s="22">
        <v>0.198368368498262</v>
      </c>
      <c r="Q17" s="22">
        <v>0.14553089954638401</v>
      </c>
      <c r="R17" s="22">
        <v>0.44397467900023802</v>
      </c>
      <c r="S17" s="22">
        <v>0.33050505287265802</v>
      </c>
      <c r="T17" s="22">
        <v>0.62784132958522199</v>
      </c>
      <c r="U17" s="22">
        <v>0.55445881196107905</v>
      </c>
      <c r="V17" s="22">
        <v>0.28386030931975997</v>
      </c>
      <c r="W17" s="22"/>
      <c r="X17" s="22">
        <v>0.43925492698865598</v>
      </c>
      <c r="Y17" s="22">
        <v>0.35712438757324499</v>
      </c>
    </row>
    <row r="18" spans="2:25" x14ac:dyDescent="0.35">
      <c r="B18" s="16" t="s">
        <v>535</v>
      </c>
    </row>
    <row r="19" spans="2:25" x14ac:dyDescent="0.35">
      <c r="B19" t="s">
        <v>51</v>
      </c>
    </row>
    <row r="20" spans="2:25" x14ac:dyDescent="0.35">
      <c r="B20" t="s">
        <v>52</v>
      </c>
    </row>
    <row r="22" spans="2:25" x14ac:dyDescent="0.35">
      <c r="B22" s="8" t="str">
        <f>HYPERLINK("#'Contents'!A1", "Return to Contents")</f>
        <v>Return to Contents</v>
      </c>
    </row>
  </sheetData>
  <mergeCells count="5">
    <mergeCell ref="D5:E5"/>
    <mergeCell ref="G5:L5"/>
    <mergeCell ref="N5:V5"/>
    <mergeCell ref="X5:Y5"/>
    <mergeCell ref="D2:W2"/>
  </mergeCells>
  <pageMargins left="0.7" right="0.7" top="0.75" bottom="0.75" header="0.3" footer="0.3"/>
  <pageSetup paperSize="9" orientation="portrait" horizontalDpi="300" verticalDpi="300"/>
  <drawing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B2:Y22"/>
  <sheetViews>
    <sheetView showGridLines="0" topLeftCell="A7" workbookViewId="0">
      <pane xSplit="2" topLeftCell="C1" activePane="topRight" state="frozen"/>
      <selection pane="topRight" activeCell="B18" sqref="B18"/>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s>
  <sheetData>
    <row r="2" spans="2:25" ht="40" customHeight="1" x14ac:dyDescent="0.35">
      <c r="D2" s="30" t="s">
        <v>292</v>
      </c>
      <c r="E2" s="26"/>
      <c r="F2" s="26"/>
      <c r="G2" s="26"/>
      <c r="H2" s="26"/>
      <c r="I2" s="26"/>
      <c r="J2" s="26"/>
      <c r="K2" s="26"/>
      <c r="L2" s="26"/>
      <c r="M2" s="26"/>
      <c r="N2" s="26"/>
      <c r="O2" s="26"/>
      <c r="P2" s="26"/>
      <c r="Q2" s="26"/>
      <c r="R2" s="26"/>
      <c r="S2" s="26"/>
      <c r="T2" s="26"/>
      <c r="U2" s="26"/>
      <c r="V2" s="26"/>
      <c r="W2" s="26"/>
    </row>
    <row r="5" spans="2:25" ht="30" customHeight="1" x14ac:dyDescent="0.35">
      <c r="B5" s="15"/>
      <c r="C5" s="15"/>
      <c r="D5" s="29" t="s">
        <v>38</v>
      </c>
      <c r="E5" s="29"/>
      <c r="F5" s="15"/>
      <c r="G5" s="29" t="s">
        <v>39</v>
      </c>
      <c r="H5" s="29"/>
      <c r="I5" s="29"/>
      <c r="J5" s="29"/>
      <c r="K5" s="29"/>
      <c r="L5" s="29"/>
      <c r="M5" s="15"/>
      <c r="N5" s="29" t="s">
        <v>40</v>
      </c>
      <c r="O5" s="29"/>
      <c r="P5" s="29"/>
      <c r="Q5" s="29"/>
      <c r="R5" s="29"/>
      <c r="S5" s="29"/>
      <c r="T5" s="29"/>
      <c r="U5" s="29"/>
      <c r="V5" s="29"/>
      <c r="W5" s="15"/>
      <c r="X5" s="29" t="s">
        <v>41</v>
      </c>
      <c r="Y5" s="29"/>
    </row>
    <row r="6" spans="2:25" ht="29"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row>
    <row r="7" spans="2:25" ht="30" customHeight="1" x14ac:dyDescent="0.35">
      <c r="B7" s="10" t="s">
        <v>19</v>
      </c>
      <c r="C7" s="10">
        <v>1876</v>
      </c>
      <c r="D7" s="10">
        <v>916</v>
      </c>
      <c r="E7" s="10">
        <v>955</v>
      </c>
      <c r="F7" s="10"/>
      <c r="G7" s="10">
        <v>82</v>
      </c>
      <c r="H7" s="10">
        <v>441</v>
      </c>
      <c r="I7" s="10">
        <v>678</v>
      </c>
      <c r="J7" s="10">
        <v>511</v>
      </c>
      <c r="K7" s="10">
        <v>138</v>
      </c>
      <c r="L7" s="10">
        <v>26</v>
      </c>
      <c r="M7" s="10"/>
      <c r="N7" s="10">
        <v>56</v>
      </c>
      <c r="O7" s="10">
        <v>50</v>
      </c>
      <c r="P7" s="10">
        <v>277</v>
      </c>
      <c r="Q7" s="10">
        <v>183</v>
      </c>
      <c r="R7" s="10">
        <v>249</v>
      </c>
      <c r="S7" s="10">
        <v>213</v>
      </c>
      <c r="T7" s="10">
        <v>410</v>
      </c>
      <c r="U7" s="10">
        <v>329</v>
      </c>
      <c r="V7" s="10">
        <v>109</v>
      </c>
      <c r="W7" s="10"/>
      <c r="X7" s="10">
        <v>921</v>
      </c>
      <c r="Y7" s="10">
        <v>955</v>
      </c>
    </row>
    <row r="8" spans="2:25" ht="30" customHeight="1" x14ac:dyDescent="0.35">
      <c r="B8" s="11" t="s">
        <v>20</v>
      </c>
      <c r="C8" s="11">
        <v>1828</v>
      </c>
      <c r="D8" s="11">
        <v>932</v>
      </c>
      <c r="E8" s="11">
        <v>891</v>
      </c>
      <c r="F8" s="11"/>
      <c r="G8" s="11">
        <v>84</v>
      </c>
      <c r="H8" s="11">
        <v>413</v>
      </c>
      <c r="I8" s="11">
        <v>687</v>
      </c>
      <c r="J8" s="11">
        <v>488</v>
      </c>
      <c r="K8" s="11">
        <v>130</v>
      </c>
      <c r="L8" s="11">
        <v>27</v>
      </c>
      <c r="M8" s="11"/>
      <c r="N8" s="11">
        <v>57</v>
      </c>
      <c r="O8" s="11">
        <v>46</v>
      </c>
      <c r="P8" s="11">
        <v>282</v>
      </c>
      <c r="Q8" s="11">
        <v>186</v>
      </c>
      <c r="R8" s="11">
        <v>233</v>
      </c>
      <c r="S8" s="11">
        <v>217</v>
      </c>
      <c r="T8" s="11">
        <v>389</v>
      </c>
      <c r="U8" s="11">
        <v>306</v>
      </c>
      <c r="V8" s="11">
        <v>113</v>
      </c>
      <c r="W8" s="11"/>
      <c r="X8" s="11">
        <v>839</v>
      </c>
      <c r="Y8" s="11">
        <v>988</v>
      </c>
    </row>
    <row r="9" spans="2:25" x14ac:dyDescent="0.35">
      <c r="B9" s="18" t="s">
        <v>276</v>
      </c>
      <c r="C9" s="17">
        <v>0.22285984742002901</v>
      </c>
      <c r="D9" s="17">
        <v>0.21341644683284899</v>
      </c>
      <c r="E9" s="17">
        <v>0.23283527298248</v>
      </c>
      <c r="F9" s="17"/>
      <c r="G9" s="17">
        <v>0.189188406931424</v>
      </c>
      <c r="H9" s="17">
        <v>0.212442489575497</v>
      </c>
      <c r="I9" s="17">
        <v>0.23878981897427101</v>
      </c>
      <c r="J9" s="17">
        <v>0.21234734218745099</v>
      </c>
      <c r="K9" s="17">
        <v>0.22258154993264401</v>
      </c>
      <c r="L9" s="17">
        <v>0.27382186146044502</v>
      </c>
      <c r="M9" s="17"/>
      <c r="N9" s="17">
        <v>0.13039786890632199</v>
      </c>
      <c r="O9" s="17">
        <v>0.19335510593916799</v>
      </c>
      <c r="P9" s="17">
        <v>0.14405213490946001</v>
      </c>
      <c r="Q9" s="17">
        <v>0.123292926480077</v>
      </c>
      <c r="R9" s="17">
        <v>0.31325378663429598</v>
      </c>
      <c r="S9" s="17">
        <v>0.17918311047287599</v>
      </c>
      <c r="T9" s="17">
        <v>0.218251635251628</v>
      </c>
      <c r="U9" s="17">
        <v>0.40178524838910601</v>
      </c>
      <c r="V9" s="17">
        <v>7.0421131636525802E-2</v>
      </c>
      <c r="W9" s="17"/>
      <c r="X9" s="17">
        <v>0.226500394937281</v>
      </c>
      <c r="Y9" s="17">
        <v>0.21976763024857601</v>
      </c>
    </row>
    <row r="10" spans="2:25" x14ac:dyDescent="0.35">
      <c r="B10" s="18" t="s">
        <v>277</v>
      </c>
      <c r="C10" s="17">
        <v>0.29232786198598998</v>
      </c>
      <c r="D10" s="17">
        <v>0.30561887903035301</v>
      </c>
      <c r="E10" s="17">
        <v>0.27893434977491199</v>
      </c>
      <c r="F10" s="17"/>
      <c r="G10" s="17">
        <v>0.27225365223398501</v>
      </c>
      <c r="H10" s="17">
        <v>0.28877725384659703</v>
      </c>
      <c r="I10" s="17">
        <v>0.27007087389458501</v>
      </c>
      <c r="J10" s="17">
        <v>0.31598252458188603</v>
      </c>
      <c r="K10" s="17">
        <v>0.32629474166522199</v>
      </c>
      <c r="L10" s="17">
        <v>0.38604701874616498</v>
      </c>
      <c r="M10" s="17"/>
      <c r="N10" s="17">
        <v>0.14354393987474301</v>
      </c>
      <c r="O10" s="17">
        <v>0.19099951594657399</v>
      </c>
      <c r="P10" s="17">
        <v>0.313541263438535</v>
      </c>
      <c r="Q10" s="17">
        <v>0.25658968942607102</v>
      </c>
      <c r="R10" s="17">
        <v>0.36672769908073799</v>
      </c>
      <c r="S10" s="17">
        <v>0.23935202140919101</v>
      </c>
      <c r="T10" s="17">
        <v>0.32567906866018898</v>
      </c>
      <c r="U10" s="17">
        <v>0.32951550959645098</v>
      </c>
      <c r="V10" s="17">
        <v>0.146482819433849</v>
      </c>
      <c r="W10" s="17"/>
      <c r="X10" s="17">
        <v>0.29114255082065899</v>
      </c>
      <c r="Y10" s="17">
        <v>0.29333464448823299</v>
      </c>
    </row>
    <row r="11" spans="2:25" ht="29" x14ac:dyDescent="0.35">
      <c r="B11" s="18" t="s">
        <v>278</v>
      </c>
      <c r="C11" s="17">
        <v>0.27404094788577299</v>
      </c>
      <c r="D11" s="17">
        <v>0.28715048482396999</v>
      </c>
      <c r="E11" s="17">
        <v>0.26182598399406798</v>
      </c>
      <c r="F11" s="17"/>
      <c r="G11" s="17">
        <v>0.267571675403944</v>
      </c>
      <c r="H11" s="17">
        <v>0.26614708340125198</v>
      </c>
      <c r="I11" s="17">
        <v>0.29953318388947803</v>
      </c>
      <c r="J11" s="17">
        <v>0.258327394866458</v>
      </c>
      <c r="K11" s="17">
        <v>0.25634108516705501</v>
      </c>
      <c r="L11" s="17">
        <v>0.133296635132932</v>
      </c>
      <c r="M11" s="17"/>
      <c r="N11" s="17">
        <v>0.380477068151095</v>
      </c>
      <c r="O11" s="17">
        <v>0.22473891379980801</v>
      </c>
      <c r="P11" s="17">
        <v>0.29187829067811499</v>
      </c>
      <c r="Q11" s="17">
        <v>0.31266316337699102</v>
      </c>
      <c r="R11" s="17">
        <v>0.23670400005824599</v>
      </c>
      <c r="S11" s="17">
        <v>0.30484234070083799</v>
      </c>
      <c r="T11" s="17">
        <v>0.28604043032202697</v>
      </c>
      <c r="U11" s="17">
        <v>0.15274420218098</v>
      </c>
      <c r="V11" s="17">
        <v>0.437526151027604</v>
      </c>
      <c r="W11" s="17"/>
      <c r="X11" s="17">
        <v>0.27084945011593398</v>
      </c>
      <c r="Y11" s="17">
        <v>0.27675175008236003</v>
      </c>
    </row>
    <row r="12" spans="2:25" x14ac:dyDescent="0.35">
      <c r="B12" s="18" t="s">
        <v>279</v>
      </c>
      <c r="C12" s="17">
        <v>8.8095999362597696E-2</v>
      </c>
      <c r="D12" s="17">
        <v>9.85383797189055E-2</v>
      </c>
      <c r="E12" s="17">
        <v>7.5570225290195206E-2</v>
      </c>
      <c r="F12" s="17"/>
      <c r="G12" s="17">
        <v>0.174380535902148</v>
      </c>
      <c r="H12" s="17">
        <v>0.11503560151065199</v>
      </c>
      <c r="I12" s="17">
        <v>7.0854621180525407E-2</v>
      </c>
      <c r="J12" s="17">
        <v>8.5232413248432004E-2</v>
      </c>
      <c r="K12" s="17">
        <v>5.3039180336591697E-2</v>
      </c>
      <c r="L12" s="17">
        <v>6.6079345789557098E-2</v>
      </c>
      <c r="M12" s="17"/>
      <c r="N12" s="17">
        <v>0.16561198383900699</v>
      </c>
      <c r="O12" s="17">
        <v>4.7340348939384498E-2</v>
      </c>
      <c r="P12" s="17">
        <v>0.103420871855223</v>
      </c>
      <c r="Q12" s="17">
        <v>0.150780544159166</v>
      </c>
      <c r="R12" s="17">
        <v>4.26460675378353E-2</v>
      </c>
      <c r="S12" s="17">
        <v>0.101450478363085</v>
      </c>
      <c r="T12" s="17">
        <v>5.26833803937009E-2</v>
      </c>
      <c r="U12" s="17">
        <v>6.3667368570428498E-2</v>
      </c>
      <c r="V12" s="17">
        <v>0.18046502955698901</v>
      </c>
      <c r="W12" s="17"/>
      <c r="X12" s="17">
        <v>9.4883264725960495E-2</v>
      </c>
      <c r="Y12" s="17">
        <v>8.2331015275907901E-2</v>
      </c>
    </row>
    <row r="13" spans="2:25" x14ac:dyDescent="0.35">
      <c r="B13" s="18" t="s">
        <v>280</v>
      </c>
      <c r="C13" s="17">
        <v>6.2553995396889897E-2</v>
      </c>
      <c r="D13" s="17">
        <v>5.9019177066516798E-2</v>
      </c>
      <c r="E13" s="17">
        <v>6.6589616476711203E-2</v>
      </c>
      <c r="F13" s="17"/>
      <c r="G13" s="17">
        <v>7.7001275249998793E-2</v>
      </c>
      <c r="H13" s="17">
        <v>6.9049204597196906E-2</v>
      </c>
      <c r="I13" s="17">
        <v>6.8379551976675695E-2</v>
      </c>
      <c r="J13" s="17">
        <v>4.7488118136549198E-2</v>
      </c>
      <c r="K13" s="17">
        <v>4.9214123433936698E-2</v>
      </c>
      <c r="L13" s="17">
        <v>0.10705449948250299</v>
      </c>
      <c r="M13" s="17"/>
      <c r="N13" s="17">
        <v>0.10061931196793</v>
      </c>
      <c r="O13" s="17">
        <v>0.13707842245871299</v>
      </c>
      <c r="P13" s="17">
        <v>8.1858688707609206E-2</v>
      </c>
      <c r="Q13" s="17">
        <v>0.10754495679824599</v>
      </c>
      <c r="R13" s="17">
        <v>1.39942354343049E-2</v>
      </c>
      <c r="S13" s="17">
        <v>8.2537060772304494E-2</v>
      </c>
      <c r="T13" s="17">
        <v>5.1443467867381999E-2</v>
      </c>
      <c r="U13" s="17">
        <v>1.94954757743287E-2</v>
      </c>
      <c r="V13" s="17">
        <v>0.107826028794926</v>
      </c>
      <c r="W13" s="17"/>
      <c r="X13" s="17">
        <v>5.7469784742202198E-2</v>
      </c>
      <c r="Y13" s="17">
        <v>6.6872434701748903E-2</v>
      </c>
    </row>
    <row r="14" spans="2:25" x14ac:dyDescent="0.35">
      <c r="B14" s="18" t="s">
        <v>162</v>
      </c>
      <c r="C14" s="17">
        <v>6.0121347948720497E-2</v>
      </c>
      <c r="D14" s="17">
        <v>3.6256632527406102E-2</v>
      </c>
      <c r="E14" s="17">
        <v>8.4244551481633706E-2</v>
      </c>
      <c r="F14" s="17"/>
      <c r="G14" s="17">
        <v>1.96044542784998E-2</v>
      </c>
      <c r="H14" s="17">
        <v>4.8548367068805102E-2</v>
      </c>
      <c r="I14" s="17">
        <v>5.2371950084464103E-2</v>
      </c>
      <c r="J14" s="17">
        <v>8.0622206979222996E-2</v>
      </c>
      <c r="K14" s="17">
        <v>9.2529319464550605E-2</v>
      </c>
      <c r="L14" s="17">
        <v>3.3700639388398297E-2</v>
      </c>
      <c r="M14" s="17"/>
      <c r="N14" s="17">
        <v>7.9349827260902797E-2</v>
      </c>
      <c r="O14" s="17">
        <v>0.20648769291635299</v>
      </c>
      <c r="P14" s="17">
        <v>6.5248750411057599E-2</v>
      </c>
      <c r="Q14" s="17">
        <v>4.9128719759448797E-2</v>
      </c>
      <c r="R14" s="17">
        <v>2.6674211254579298E-2</v>
      </c>
      <c r="S14" s="17">
        <v>9.2634988281706104E-2</v>
      </c>
      <c r="T14" s="17">
        <v>6.5902017505072005E-2</v>
      </c>
      <c r="U14" s="17">
        <v>3.2792195488706703E-2</v>
      </c>
      <c r="V14" s="17">
        <v>5.7278839550106098E-2</v>
      </c>
      <c r="W14" s="17"/>
      <c r="X14" s="17">
        <v>5.9154554657962599E-2</v>
      </c>
      <c r="Y14" s="17">
        <v>6.09425252031746E-2</v>
      </c>
    </row>
    <row r="15" spans="2:25" x14ac:dyDescent="0.35">
      <c r="B15" s="18" t="s">
        <v>281</v>
      </c>
      <c r="C15" s="21">
        <v>0.51518770940601899</v>
      </c>
      <c r="D15" s="21">
        <v>0.519035325863201</v>
      </c>
      <c r="E15" s="21">
        <v>0.51176962275739202</v>
      </c>
      <c r="F15" s="21"/>
      <c r="G15" s="21">
        <v>0.46144205916540898</v>
      </c>
      <c r="H15" s="21">
        <v>0.50121974342209397</v>
      </c>
      <c r="I15" s="21">
        <v>0.50886069286885605</v>
      </c>
      <c r="J15" s="21">
        <v>0.52832986676933702</v>
      </c>
      <c r="K15" s="21">
        <v>0.548876291597866</v>
      </c>
      <c r="L15" s="21">
        <v>0.65986888020661005</v>
      </c>
      <c r="M15" s="21"/>
      <c r="N15" s="21">
        <v>0.273941808781065</v>
      </c>
      <c r="O15" s="21">
        <v>0.38435462188574199</v>
      </c>
      <c r="P15" s="21">
        <v>0.45759339834799501</v>
      </c>
      <c r="Q15" s="21">
        <v>0.37988261590614802</v>
      </c>
      <c r="R15" s="21">
        <v>0.67998148571503403</v>
      </c>
      <c r="S15" s="21">
        <v>0.41853513188206698</v>
      </c>
      <c r="T15" s="21">
        <v>0.54393070391181797</v>
      </c>
      <c r="U15" s="21">
        <v>0.73130075798555605</v>
      </c>
      <c r="V15" s="21">
        <v>0.216903951070375</v>
      </c>
      <c r="W15" s="21"/>
      <c r="X15" s="21">
        <v>0.51764294575794001</v>
      </c>
      <c r="Y15" s="21">
        <v>0.51310227473680803</v>
      </c>
    </row>
    <row r="16" spans="2:25" x14ac:dyDescent="0.35">
      <c r="B16" s="18" t="s">
        <v>282</v>
      </c>
      <c r="C16" s="21">
        <v>0.15064999475948801</v>
      </c>
      <c r="D16" s="21">
        <v>0.15755755678542199</v>
      </c>
      <c r="E16" s="21">
        <v>0.14215984176690599</v>
      </c>
      <c r="F16" s="21"/>
      <c r="G16" s="21">
        <v>0.25138181115214697</v>
      </c>
      <c r="H16" s="21">
        <v>0.184084806107849</v>
      </c>
      <c r="I16" s="21">
        <v>0.13923417315720099</v>
      </c>
      <c r="J16" s="21">
        <v>0.13272053138498099</v>
      </c>
      <c r="K16" s="21">
        <v>0.10225330377052801</v>
      </c>
      <c r="L16" s="21">
        <v>0.17313384527205999</v>
      </c>
      <c r="M16" s="21"/>
      <c r="N16" s="21">
        <v>0.266231295806937</v>
      </c>
      <c r="O16" s="21">
        <v>0.18441877139809701</v>
      </c>
      <c r="P16" s="21">
        <v>0.18527956056283201</v>
      </c>
      <c r="Q16" s="21">
        <v>0.25832550095741202</v>
      </c>
      <c r="R16" s="21">
        <v>5.6640302972140198E-2</v>
      </c>
      <c r="S16" s="21">
        <v>0.18398753913538901</v>
      </c>
      <c r="T16" s="21">
        <v>0.104126848261083</v>
      </c>
      <c r="U16" s="21">
        <v>8.3162844344757195E-2</v>
      </c>
      <c r="V16" s="21">
        <v>0.28829105835191499</v>
      </c>
      <c r="W16" s="21"/>
      <c r="X16" s="21">
        <v>0.152353049468163</v>
      </c>
      <c r="Y16" s="21">
        <v>0.149203449977657</v>
      </c>
    </row>
    <row r="17" spans="2:25" x14ac:dyDescent="0.35">
      <c r="B17" s="18" t="s">
        <v>92</v>
      </c>
      <c r="C17" s="22">
        <v>0.36453771464653101</v>
      </c>
      <c r="D17" s="22">
        <v>0.36147776907777901</v>
      </c>
      <c r="E17" s="22">
        <v>0.36960978099048503</v>
      </c>
      <c r="F17" s="22"/>
      <c r="G17" s="22">
        <v>0.21006024801326201</v>
      </c>
      <c r="H17" s="22">
        <v>0.31713493731424502</v>
      </c>
      <c r="I17" s="22">
        <v>0.369626519711655</v>
      </c>
      <c r="J17" s="22">
        <v>0.395609335384356</v>
      </c>
      <c r="K17" s="22">
        <v>0.446622987827338</v>
      </c>
      <c r="L17" s="22">
        <v>0.48673503493455</v>
      </c>
      <c r="M17" s="22"/>
      <c r="N17" s="22">
        <v>7.7105129741282799E-3</v>
      </c>
      <c r="O17" s="22">
        <v>0.19993585048764501</v>
      </c>
      <c r="P17" s="22">
        <v>0.27231383778516299</v>
      </c>
      <c r="Q17" s="22">
        <v>0.121557114948736</v>
      </c>
      <c r="R17" s="22">
        <v>0.62334118274289396</v>
      </c>
      <c r="S17" s="22">
        <v>0.234547592746678</v>
      </c>
      <c r="T17" s="22">
        <v>0.43980385565073499</v>
      </c>
      <c r="U17" s="22">
        <v>0.64813791364079898</v>
      </c>
      <c r="V17" s="22">
        <v>-7.1387107281540699E-2</v>
      </c>
      <c r="W17" s="22"/>
      <c r="X17" s="22">
        <v>0.36528989628977798</v>
      </c>
      <c r="Y17" s="22">
        <v>0.36389882475915197</v>
      </c>
    </row>
    <row r="18" spans="2:25" x14ac:dyDescent="0.35">
      <c r="B18" s="16" t="s">
        <v>535</v>
      </c>
    </row>
    <row r="19" spans="2:25" x14ac:dyDescent="0.35">
      <c r="B19" t="s">
        <v>51</v>
      </c>
    </row>
    <row r="20" spans="2:25" x14ac:dyDescent="0.35">
      <c r="B20" t="s">
        <v>52</v>
      </c>
    </row>
    <row r="22" spans="2:25" x14ac:dyDescent="0.35">
      <c r="B22" s="8" t="str">
        <f>HYPERLINK("#'Contents'!A1", "Return to Contents")</f>
        <v>Return to Contents</v>
      </c>
    </row>
  </sheetData>
  <mergeCells count="5">
    <mergeCell ref="D5:E5"/>
    <mergeCell ref="G5:L5"/>
    <mergeCell ref="N5:V5"/>
    <mergeCell ref="X5:Y5"/>
    <mergeCell ref="D2:W2"/>
  </mergeCells>
  <pageMargins left="0.7" right="0.7" top="0.75" bottom="0.75" header="0.3" footer="0.3"/>
  <pageSetup paperSize="9" orientation="portrait" horizontalDpi="300" verticalDpi="300"/>
  <drawing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B2:H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8" width="20.7265625" customWidth="1"/>
  </cols>
  <sheetData>
    <row r="2" spans="2:8" ht="40" customHeight="1" x14ac:dyDescent="0.35">
      <c r="D2" s="30" t="s">
        <v>299</v>
      </c>
      <c r="E2" s="26"/>
      <c r="F2" s="26"/>
      <c r="G2" s="26"/>
      <c r="H2" s="26"/>
    </row>
    <row r="6" spans="2:8" ht="50" customHeight="1" x14ac:dyDescent="0.35">
      <c r="B6" s="20" t="s">
        <v>15</v>
      </c>
      <c r="C6" s="20" t="s">
        <v>293</v>
      </c>
      <c r="D6" s="20" t="s">
        <v>294</v>
      </c>
      <c r="E6" s="20" t="s">
        <v>295</v>
      </c>
      <c r="F6" s="20" t="s">
        <v>296</v>
      </c>
      <c r="G6" s="20" t="s">
        <v>297</v>
      </c>
    </row>
    <row r="7" spans="2:8" x14ac:dyDescent="0.35">
      <c r="B7" s="18" t="s">
        <v>276</v>
      </c>
      <c r="C7" s="17">
        <v>0.49205816336378699</v>
      </c>
      <c r="D7" s="17">
        <v>0.41022940445072298</v>
      </c>
      <c r="E7" s="17">
        <v>0.52433411411575104</v>
      </c>
      <c r="F7" s="17">
        <v>0.62558896906318096</v>
      </c>
      <c r="G7" s="17">
        <v>0.20605461219367899</v>
      </c>
    </row>
    <row r="8" spans="2:8" x14ac:dyDescent="0.35">
      <c r="B8" s="18" t="s">
        <v>277</v>
      </c>
      <c r="C8" s="17">
        <v>0.40942055715264702</v>
      </c>
      <c r="D8" s="17">
        <v>0.44116465025165702</v>
      </c>
      <c r="E8" s="17">
        <v>0.380978019916137</v>
      </c>
      <c r="F8" s="17">
        <v>0.27403528363016999</v>
      </c>
      <c r="G8" s="17">
        <v>0.31790262092725302</v>
      </c>
    </row>
    <row r="9" spans="2:8" ht="29" x14ac:dyDescent="0.35">
      <c r="B9" s="18" t="s">
        <v>298</v>
      </c>
      <c r="C9" s="17">
        <v>7.3185998708082595E-2</v>
      </c>
      <c r="D9" s="17">
        <v>0.106858467003536</v>
      </c>
      <c r="E9" s="17">
        <v>6.6746891301097594E-2</v>
      </c>
      <c r="F9" s="17">
        <v>6.7796207877018705E-2</v>
      </c>
      <c r="G9" s="17">
        <v>0.255746340424503</v>
      </c>
    </row>
    <row r="10" spans="2:8" x14ac:dyDescent="0.35">
      <c r="B10" s="18" t="s">
        <v>279</v>
      </c>
      <c r="C10" s="17">
        <v>1.02171778497613E-2</v>
      </c>
      <c r="D10" s="17">
        <v>9.4554645605859893E-3</v>
      </c>
      <c r="E10" s="17">
        <v>1.0942282383844299E-2</v>
      </c>
      <c r="F10" s="17">
        <v>1.2875295379255299E-2</v>
      </c>
      <c r="G10" s="17">
        <v>7.8099484908208797E-2</v>
      </c>
    </row>
    <row r="11" spans="2:8" x14ac:dyDescent="0.35">
      <c r="B11" s="18" t="s">
        <v>280</v>
      </c>
      <c r="C11" s="17">
        <v>3.8355880548367198E-3</v>
      </c>
      <c r="D11" s="17">
        <v>5.3374924424152599E-3</v>
      </c>
      <c r="E11" s="17">
        <v>3.8674565100894598E-3</v>
      </c>
      <c r="F11" s="17">
        <v>3.4985197091721601E-3</v>
      </c>
      <c r="G11" s="17">
        <v>6.5742962274951397E-2</v>
      </c>
    </row>
    <row r="12" spans="2:8" x14ac:dyDescent="0.35">
      <c r="B12" s="18" t="s">
        <v>224</v>
      </c>
      <c r="C12" s="17">
        <v>1.1282514870885101E-2</v>
      </c>
      <c r="D12" s="17">
        <v>2.6954521291082601E-2</v>
      </c>
      <c r="E12" s="17">
        <v>1.3131235773080599E-2</v>
      </c>
      <c r="F12" s="17">
        <v>1.62057243412034E-2</v>
      </c>
      <c r="G12" s="17">
        <v>7.6453979271404807E-2</v>
      </c>
    </row>
    <row r="13" spans="2:8" x14ac:dyDescent="0.35">
      <c r="B13" s="23" t="s">
        <v>281</v>
      </c>
      <c r="C13" s="21">
        <v>0.90147872051643396</v>
      </c>
      <c r="D13" s="21">
        <v>0.85139405470238005</v>
      </c>
      <c r="E13" s="21">
        <v>0.90531213403188804</v>
      </c>
      <c r="F13" s="21">
        <v>0.89962425269335</v>
      </c>
      <c r="G13" s="21">
        <v>0.52395723312093201</v>
      </c>
    </row>
    <row r="14" spans="2:8" x14ac:dyDescent="0.35">
      <c r="B14" s="23" t="s">
        <v>282</v>
      </c>
      <c r="C14" s="21">
        <v>1.4052765904598001E-2</v>
      </c>
      <c r="D14" s="21">
        <v>1.47929570030013E-2</v>
      </c>
      <c r="E14" s="21">
        <v>1.4809738893933701E-2</v>
      </c>
      <c r="F14" s="21">
        <v>1.6373815088427501E-2</v>
      </c>
      <c r="G14" s="21">
        <v>0.14384244718316</v>
      </c>
    </row>
    <row r="15" spans="2:8" x14ac:dyDescent="0.35">
      <c r="B15" s="23" t="s">
        <v>92</v>
      </c>
      <c r="C15" s="22">
        <v>0.88742595461183604</v>
      </c>
      <c r="D15" s="22">
        <v>0.83660109769937896</v>
      </c>
      <c r="E15" s="22">
        <v>0.89050239513795404</v>
      </c>
      <c r="F15" s="22">
        <v>0.88325043760492306</v>
      </c>
      <c r="G15" s="22">
        <v>0.38011478593777198</v>
      </c>
    </row>
    <row r="16" spans="2:8" x14ac:dyDescent="0.35">
      <c r="B16" s="16"/>
      <c r="C16" s="16"/>
      <c r="D16" s="16"/>
      <c r="E16" s="16"/>
      <c r="F16" s="16"/>
      <c r="G16" s="16"/>
    </row>
    <row r="17" spans="2:2" x14ac:dyDescent="0.35">
      <c r="B17" t="s">
        <v>51</v>
      </c>
    </row>
    <row r="18" spans="2:2" x14ac:dyDescent="0.35">
      <c r="B18" t="s">
        <v>52</v>
      </c>
    </row>
    <row r="22" spans="2:2" x14ac:dyDescent="0.35">
      <c r="B22" s="8" t="str">
        <f>HYPERLINK("#'Contents'!A1", "Return to Contents")</f>
        <v>Return to Contents</v>
      </c>
    </row>
  </sheetData>
  <mergeCells count="1">
    <mergeCell ref="D2:H2"/>
  </mergeCells>
  <pageMargins left="0.7" right="0.7" top="0.75" bottom="0.75" header="0.3" footer="0.3"/>
  <pageSetup paperSize="9" orientation="portrait" horizontalDpi="300" verticalDpi="300"/>
  <drawing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B2:Y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s>
  <sheetData>
    <row r="2" spans="2:25" ht="40" customHeight="1" x14ac:dyDescent="0.35">
      <c r="D2" s="30" t="s">
        <v>300</v>
      </c>
      <c r="E2" s="26"/>
      <c r="F2" s="26"/>
      <c r="G2" s="26"/>
      <c r="H2" s="26"/>
      <c r="I2" s="26"/>
      <c r="J2" s="26"/>
      <c r="K2" s="26"/>
      <c r="L2" s="26"/>
      <c r="M2" s="26"/>
      <c r="N2" s="26"/>
      <c r="O2" s="26"/>
      <c r="P2" s="26"/>
      <c r="Q2" s="26"/>
      <c r="R2" s="26"/>
      <c r="S2" s="26"/>
      <c r="T2" s="26"/>
      <c r="U2" s="26"/>
      <c r="V2" s="26"/>
      <c r="W2" s="26"/>
    </row>
    <row r="5" spans="2:25" ht="30" customHeight="1" x14ac:dyDescent="0.35">
      <c r="B5" s="15"/>
      <c r="C5" s="15"/>
      <c r="D5" s="29" t="s">
        <v>38</v>
      </c>
      <c r="E5" s="29"/>
      <c r="F5" s="15"/>
      <c r="G5" s="29" t="s">
        <v>39</v>
      </c>
      <c r="H5" s="29"/>
      <c r="I5" s="29"/>
      <c r="J5" s="29"/>
      <c r="K5" s="29"/>
      <c r="L5" s="29"/>
      <c r="M5" s="15"/>
      <c r="N5" s="29" t="s">
        <v>40</v>
      </c>
      <c r="O5" s="29"/>
      <c r="P5" s="29"/>
      <c r="Q5" s="29"/>
      <c r="R5" s="29"/>
      <c r="S5" s="29"/>
      <c r="T5" s="29"/>
      <c r="U5" s="29"/>
      <c r="V5" s="29"/>
      <c r="W5" s="15"/>
      <c r="X5" s="29" t="s">
        <v>41</v>
      </c>
      <c r="Y5" s="29"/>
    </row>
    <row r="6" spans="2:25" ht="29"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row>
    <row r="7" spans="2:25" ht="30" customHeight="1" x14ac:dyDescent="0.35">
      <c r="B7" s="10" t="s">
        <v>19</v>
      </c>
      <c r="C7" s="10">
        <v>6838</v>
      </c>
      <c r="D7" s="10">
        <v>3283</v>
      </c>
      <c r="E7" s="10">
        <v>3541</v>
      </c>
      <c r="F7" s="10"/>
      <c r="G7" s="10">
        <v>635</v>
      </c>
      <c r="H7" s="10">
        <v>1075</v>
      </c>
      <c r="I7" s="10">
        <v>1093</v>
      </c>
      <c r="J7" s="10">
        <v>1228</v>
      </c>
      <c r="K7" s="10">
        <v>1156</v>
      </c>
      <c r="L7" s="10">
        <v>1651</v>
      </c>
      <c r="M7" s="10"/>
      <c r="N7" s="10">
        <v>208</v>
      </c>
      <c r="O7" s="10">
        <v>200</v>
      </c>
      <c r="P7" s="10">
        <v>1002</v>
      </c>
      <c r="Q7" s="10">
        <v>1000</v>
      </c>
      <c r="R7" s="10">
        <v>1004</v>
      </c>
      <c r="S7" s="10">
        <v>1006</v>
      </c>
      <c r="T7" s="10">
        <v>1006</v>
      </c>
      <c r="U7" s="10">
        <v>1007</v>
      </c>
      <c r="V7" s="10">
        <v>405</v>
      </c>
      <c r="W7" s="10"/>
      <c r="X7" s="10">
        <v>2650</v>
      </c>
      <c r="Y7" s="10">
        <v>4188</v>
      </c>
    </row>
    <row r="8" spans="2:25" ht="30" customHeight="1" x14ac:dyDescent="0.35">
      <c r="B8" s="11" t="s">
        <v>20</v>
      </c>
      <c r="C8" s="11">
        <v>6838</v>
      </c>
      <c r="D8" s="11">
        <v>3309</v>
      </c>
      <c r="E8" s="11">
        <v>3515</v>
      </c>
      <c r="F8" s="11"/>
      <c r="G8" s="11">
        <v>645</v>
      </c>
      <c r="H8" s="11">
        <v>1026</v>
      </c>
      <c r="I8" s="11">
        <v>1111</v>
      </c>
      <c r="J8" s="11">
        <v>1184</v>
      </c>
      <c r="K8" s="11">
        <v>1140</v>
      </c>
      <c r="L8" s="11">
        <v>1732</v>
      </c>
      <c r="M8" s="11"/>
      <c r="N8" s="11">
        <v>208</v>
      </c>
      <c r="O8" s="11">
        <v>200</v>
      </c>
      <c r="P8" s="11">
        <v>1002</v>
      </c>
      <c r="Q8" s="11">
        <v>1000</v>
      </c>
      <c r="R8" s="11">
        <v>1004</v>
      </c>
      <c r="S8" s="11">
        <v>1006</v>
      </c>
      <c r="T8" s="11">
        <v>1006</v>
      </c>
      <c r="U8" s="11">
        <v>1007</v>
      </c>
      <c r="V8" s="11">
        <v>405</v>
      </c>
      <c r="W8" s="11"/>
      <c r="X8" s="11">
        <v>2436</v>
      </c>
      <c r="Y8" s="11">
        <v>4402</v>
      </c>
    </row>
    <row r="9" spans="2:25" x14ac:dyDescent="0.35">
      <c r="B9" s="18" t="s">
        <v>276</v>
      </c>
      <c r="C9" s="17">
        <v>0.49205816336378699</v>
      </c>
      <c r="D9" s="17">
        <v>0.47961883764885699</v>
      </c>
      <c r="E9" s="17">
        <v>0.50322520087653</v>
      </c>
      <c r="F9" s="17"/>
      <c r="G9" s="17">
        <v>0.50714893661107396</v>
      </c>
      <c r="H9" s="17">
        <v>0.45886829355471898</v>
      </c>
      <c r="I9" s="17">
        <v>0.51272378683540798</v>
      </c>
      <c r="J9" s="17">
        <v>0.48098319685927998</v>
      </c>
      <c r="K9" s="17">
        <v>0.50934594488478102</v>
      </c>
      <c r="L9" s="17">
        <v>0.48902298008481598</v>
      </c>
      <c r="M9" s="17"/>
      <c r="N9" s="17">
        <v>0.439166017679814</v>
      </c>
      <c r="O9" s="17">
        <v>0.45420192811624999</v>
      </c>
      <c r="P9" s="17">
        <v>0.50305834953554895</v>
      </c>
      <c r="Q9" s="17">
        <v>0.44687532052214302</v>
      </c>
      <c r="R9" s="17">
        <v>0.46088032672451101</v>
      </c>
      <c r="S9" s="17">
        <v>0.51451471607277799</v>
      </c>
      <c r="T9" s="17">
        <v>0.48850023645574803</v>
      </c>
      <c r="U9" s="17">
        <v>0.57060045350249899</v>
      </c>
      <c r="V9" s="17">
        <v>0.45732214832602702</v>
      </c>
      <c r="W9" s="17"/>
      <c r="X9" s="17">
        <v>0.45502146585495501</v>
      </c>
      <c r="Y9" s="17">
        <v>0.51255303199508195</v>
      </c>
    </row>
    <row r="10" spans="2:25" x14ac:dyDescent="0.35">
      <c r="B10" s="18" t="s">
        <v>277</v>
      </c>
      <c r="C10" s="17">
        <v>0.40942055715264702</v>
      </c>
      <c r="D10" s="17">
        <v>0.410031574720082</v>
      </c>
      <c r="E10" s="17">
        <v>0.40899447185000998</v>
      </c>
      <c r="F10" s="17"/>
      <c r="G10" s="17">
        <v>0.39319422053367697</v>
      </c>
      <c r="H10" s="17">
        <v>0.41863128879245998</v>
      </c>
      <c r="I10" s="17">
        <v>0.390685578887914</v>
      </c>
      <c r="J10" s="17">
        <v>0.41648973239234199</v>
      </c>
      <c r="K10" s="17">
        <v>0.39090030786432001</v>
      </c>
      <c r="L10" s="17">
        <v>0.42938379676884603</v>
      </c>
      <c r="M10" s="17"/>
      <c r="N10" s="17">
        <v>0.44238517680691802</v>
      </c>
      <c r="O10" s="17">
        <v>0.445199699278849</v>
      </c>
      <c r="P10" s="17">
        <v>0.424598161953051</v>
      </c>
      <c r="Q10" s="17">
        <v>0.41142242118072198</v>
      </c>
      <c r="R10" s="17">
        <v>0.45158858063718899</v>
      </c>
      <c r="S10" s="17">
        <v>0.37748513529656502</v>
      </c>
      <c r="T10" s="17">
        <v>0.44499764437106498</v>
      </c>
      <c r="U10" s="17">
        <v>0.332639827658819</v>
      </c>
      <c r="V10" s="17">
        <v>0.40965682953754701</v>
      </c>
      <c r="W10" s="17"/>
      <c r="X10" s="17">
        <v>0.43817807989492302</v>
      </c>
      <c r="Y10" s="17">
        <v>0.39350710669924599</v>
      </c>
    </row>
    <row r="11" spans="2:25" ht="29" x14ac:dyDescent="0.35">
      <c r="B11" s="18" t="s">
        <v>298</v>
      </c>
      <c r="C11" s="17">
        <v>7.3185998708082595E-2</v>
      </c>
      <c r="D11" s="17">
        <v>8.5346017101997101E-2</v>
      </c>
      <c r="E11" s="17">
        <v>6.20313974092171E-2</v>
      </c>
      <c r="F11" s="17"/>
      <c r="G11" s="17">
        <v>7.7386392040932395E-2</v>
      </c>
      <c r="H11" s="17">
        <v>9.1004214504279798E-2</v>
      </c>
      <c r="I11" s="17">
        <v>7.3895607651453102E-2</v>
      </c>
      <c r="J11" s="17">
        <v>6.70466769236472E-2</v>
      </c>
      <c r="K11" s="17">
        <v>7.8302080933228005E-2</v>
      </c>
      <c r="L11" s="17">
        <v>6.1447333524247E-2</v>
      </c>
      <c r="M11" s="17"/>
      <c r="N11" s="17">
        <v>7.5981114899887903E-2</v>
      </c>
      <c r="O11" s="17">
        <v>7.6027160756482304E-2</v>
      </c>
      <c r="P11" s="17">
        <v>5.3327771458715499E-2</v>
      </c>
      <c r="Q11" s="17">
        <v>0.10731221873593901</v>
      </c>
      <c r="R11" s="17">
        <v>6.2863484467518299E-2</v>
      </c>
      <c r="S11" s="17">
        <v>7.4116824628430097E-2</v>
      </c>
      <c r="T11" s="17">
        <v>5.2300312907942799E-2</v>
      </c>
      <c r="U11" s="17">
        <v>7.7717363639995402E-2</v>
      </c>
      <c r="V11" s="17">
        <v>9.9105544260168807E-2</v>
      </c>
      <c r="W11" s="17"/>
      <c r="X11" s="17">
        <v>8.1637105447240899E-2</v>
      </c>
      <c r="Y11" s="17">
        <v>6.8509439131819297E-2</v>
      </c>
    </row>
    <row r="12" spans="2:25" x14ac:dyDescent="0.35">
      <c r="B12" s="18" t="s">
        <v>279</v>
      </c>
      <c r="C12" s="17">
        <v>1.02171778497613E-2</v>
      </c>
      <c r="D12" s="17">
        <v>1.22887718876939E-2</v>
      </c>
      <c r="E12" s="17">
        <v>8.3078611168370797E-3</v>
      </c>
      <c r="F12" s="17"/>
      <c r="G12" s="17">
        <v>1.11536273801755E-2</v>
      </c>
      <c r="H12" s="17">
        <v>2.1306461494841701E-2</v>
      </c>
      <c r="I12" s="17">
        <v>1.12264970413457E-2</v>
      </c>
      <c r="J12" s="17">
        <v>7.65970267043776E-3</v>
      </c>
      <c r="K12" s="17">
        <v>8.0807863203227696E-3</v>
      </c>
      <c r="L12" s="17">
        <v>5.8104235124759101E-3</v>
      </c>
      <c r="M12" s="17"/>
      <c r="N12" s="17">
        <v>2.2277505838757702E-2</v>
      </c>
      <c r="O12" s="17">
        <v>1.6315921822316001E-2</v>
      </c>
      <c r="P12" s="17">
        <v>5.8169491211817201E-3</v>
      </c>
      <c r="Q12" s="17">
        <v>1.7817282647252401E-2</v>
      </c>
      <c r="R12" s="17">
        <v>7.3685093526695304E-3</v>
      </c>
      <c r="S12" s="17">
        <v>1.21722111801809E-2</v>
      </c>
      <c r="T12" s="17">
        <v>3.9110690509974897E-3</v>
      </c>
      <c r="U12" s="17">
        <v>8.9610605880483599E-3</v>
      </c>
      <c r="V12" s="17">
        <v>1.4125282904335399E-2</v>
      </c>
      <c r="W12" s="17"/>
      <c r="X12" s="17">
        <v>1.35546295285824E-2</v>
      </c>
      <c r="Y12" s="17">
        <v>8.3703438088908698E-3</v>
      </c>
    </row>
    <row r="13" spans="2:25" x14ac:dyDescent="0.35">
      <c r="B13" s="18" t="s">
        <v>280</v>
      </c>
      <c r="C13" s="17">
        <v>3.8355880548367198E-3</v>
      </c>
      <c r="D13" s="17">
        <v>5.7278777797248803E-3</v>
      </c>
      <c r="E13" s="17">
        <v>2.06953314657351E-3</v>
      </c>
      <c r="F13" s="17"/>
      <c r="G13" s="17">
        <v>4.34097895409216E-3</v>
      </c>
      <c r="H13" s="17">
        <v>3.0137717806292901E-3</v>
      </c>
      <c r="I13" s="17">
        <v>2.97919240868544E-3</v>
      </c>
      <c r="J13" s="17">
        <v>8.37575768732211E-3</v>
      </c>
      <c r="K13" s="17">
        <v>8.9457790525869203E-4</v>
      </c>
      <c r="L13" s="17">
        <v>3.5166584280530299E-3</v>
      </c>
      <c r="M13" s="17"/>
      <c r="N13" s="17">
        <v>0</v>
      </c>
      <c r="O13" s="17">
        <v>4.0991341966630703E-3</v>
      </c>
      <c r="P13" s="17">
        <v>1.4200254834145301E-3</v>
      </c>
      <c r="Q13" s="17">
        <v>5.93722539616793E-3</v>
      </c>
      <c r="R13" s="17">
        <v>4.36211803749107E-3</v>
      </c>
      <c r="S13" s="17">
        <v>6.95120913273188E-3</v>
      </c>
      <c r="T13" s="17">
        <v>2.9366696733732298E-3</v>
      </c>
      <c r="U13" s="17">
        <v>2.7139605821328802E-3</v>
      </c>
      <c r="V13" s="17">
        <v>2.4397591464222698E-3</v>
      </c>
      <c r="W13" s="17"/>
      <c r="X13" s="17">
        <v>5.1573937665703303E-3</v>
      </c>
      <c r="Y13" s="17">
        <v>3.1041450202191098E-3</v>
      </c>
    </row>
    <row r="14" spans="2:25" x14ac:dyDescent="0.35">
      <c r="B14" s="18" t="s">
        <v>224</v>
      </c>
      <c r="C14" s="17">
        <v>1.1282514870885101E-2</v>
      </c>
      <c r="D14" s="17">
        <v>6.9869208616447397E-3</v>
      </c>
      <c r="E14" s="17">
        <v>1.53715356008325E-2</v>
      </c>
      <c r="F14" s="17"/>
      <c r="G14" s="17">
        <v>6.7758444800490401E-3</v>
      </c>
      <c r="H14" s="17">
        <v>7.1759698730703E-3</v>
      </c>
      <c r="I14" s="17">
        <v>8.4893371751943499E-3</v>
      </c>
      <c r="J14" s="17">
        <v>1.9444933466970502E-2</v>
      </c>
      <c r="K14" s="17">
        <v>1.2476302092088601E-2</v>
      </c>
      <c r="L14" s="17">
        <v>1.0818807681562299E-2</v>
      </c>
      <c r="M14" s="17"/>
      <c r="N14" s="17">
        <v>2.01901847746223E-2</v>
      </c>
      <c r="O14" s="17">
        <v>4.1561558294397703E-3</v>
      </c>
      <c r="P14" s="17">
        <v>1.17787424480881E-2</v>
      </c>
      <c r="Q14" s="17">
        <v>1.06355315177752E-2</v>
      </c>
      <c r="R14" s="17">
        <v>1.29369807806211E-2</v>
      </c>
      <c r="S14" s="17">
        <v>1.4759903689314E-2</v>
      </c>
      <c r="T14" s="17">
        <v>7.3540675408728202E-3</v>
      </c>
      <c r="U14" s="17">
        <v>7.3673340285051597E-3</v>
      </c>
      <c r="V14" s="17">
        <v>1.7350435825499302E-2</v>
      </c>
      <c r="W14" s="17"/>
      <c r="X14" s="17">
        <v>6.4513255077280601E-3</v>
      </c>
      <c r="Y14" s="17">
        <v>1.39559333447433E-2</v>
      </c>
    </row>
    <row r="15" spans="2:25" x14ac:dyDescent="0.35">
      <c r="B15" s="18" t="s">
        <v>281</v>
      </c>
      <c r="C15" s="21">
        <v>0.90147872051643396</v>
      </c>
      <c r="D15" s="21">
        <v>0.88965041236893905</v>
      </c>
      <c r="E15" s="21">
        <v>0.91221967272654003</v>
      </c>
      <c r="F15" s="21"/>
      <c r="G15" s="21">
        <v>0.90034315714475099</v>
      </c>
      <c r="H15" s="21">
        <v>0.87749958234717895</v>
      </c>
      <c r="I15" s="21">
        <v>0.90340936572332098</v>
      </c>
      <c r="J15" s="21">
        <v>0.89747292925162203</v>
      </c>
      <c r="K15" s="21">
        <v>0.90024625274910197</v>
      </c>
      <c r="L15" s="21">
        <v>0.91840677685366201</v>
      </c>
      <c r="M15" s="21"/>
      <c r="N15" s="21">
        <v>0.88155119448673203</v>
      </c>
      <c r="O15" s="21">
        <v>0.89940162739509899</v>
      </c>
      <c r="P15" s="21">
        <v>0.92765651148859996</v>
      </c>
      <c r="Q15" s="21">
        <v>0.85829774170286499</v>
      </c>
      <c r="R15" s="21">
        <v>0.91246890736170005</v>
      </c>
      <c r="S15" s="21">
        <v>0.89199985136934301</v>
      </c>
      <c r="T15" s="21">
        <v>0.93349788082681395</v>
      </c>
      <c r="U15" s="21">
        <v>0.90324028116131805</v>
      </c>
      <c r="V15" s="21">
        <v>0.86697897786357403</v>
      </c>
      <c r="W15" s="21"/>
      <c r="X15" s="21">
        <v>0.89319954574987803</v>
      </c>
      <c r="Y15" s="21">
        <v>0.906060138694327</v>
      </c>
    </row>
    <row r="16" spans="2:25" x14ac:dyDescent="0.35">
      <c r="B16" s="18" t="s">
        <v>282</v>
      </c>
      <c r="C16" s="21">
        <v>1.4052765904598001E-2</v>
      </c>
      <c r="D16" s="21">
        <v>1.80166496674188E-2</v>
      </c>
      <c r="E16" s="21">
        <v>1.03773942634106E-2</v>
      </c>
      <c r="F16" s="21"/>
      <c r="G16" s="21">
        <v>1.54946063342677E-2</v>
      </c>
      <c r="H16" s="21">
        <v>2.43202332754709E-2</v>
      </c>
      <c r="I16" s="21">
        <v>1.42056894500312E-2</v>
      </c>
      <c r="J16" s="21">
        <v>1.6035460357759899E-2</v>
      </c>
      <c r="K16" s="21">
        <v>8.9753642255814697E-3</v>
      </c>
      <c r="L16" s="21">
        <v>9.3270819405289404E-3</v>
      </c>
      <c r="M16" s="21"/>
      <c r="N16" s="21">
        <v>2.2277505838757702E-2</v>
      </c>
      <c r="O16" s="21">
        <v>2.0415056018979E-2</v>
      </c>
      <c r="P16" s="21">
        <v>7.23697460459625E-3</v>
      </c>
      <c r="Q16" s="21">
        <v>2.3754508043420299E-2</v>
      </c>
      <c r="R16" s="21">
        <v>1.17306273901606E-2</v>
      </c>
      <c r="S16" s="21">
        <v>1.9123420312912798E-2</v>
      </c>
      <c r="T16" s="21">
        <v>6.84773872437071E-3</v>
      </c>
      <c r="U16" s="21">
        <v>1.16750211701812E-2</v>
      </c>
      <c r="V16" s="21">
        <v>1.6565042050757699E-2</v>
      </c>
      <c r="W16" s="21"/>
      <c r="X16" s="21">
        <v>1.8712023295152699E-2</v>
      </c>
      <c r="Y16" s="21">
        <v>1.1474488829110001E-2</v>
      </c>
    </row>
    <row r="17" spans="2:25" x14ac:dyDescent="0.35">
      <c r="B17" s="18" t="s">
        <v>92</v>
      </c>
      <c r="C17" s="22">
        <v>0.88742595461183604</v>
      </c>
      <c r="D17" s="22">
        <v>0.87163376270152004</v>
      </c>
      <c r="E17" s="22">
        <v>0.90184227846312903</v>
      </c>
      <c r="F17" s="22"/>
      <c r="G17" s="22">
        <v>0.88484855081048297</v>
      </c>
      <c r="H17" s="22">
        <v>0.853179349071708</v>
      </c>
      <c r="I17" s="22">
        <v>0.88920367627329</v>
      </c>
      <c r="J17" s="22">
        <v>0.88143746889386299</v>
      </c>
      <c r="K17" s="22">
        <v>0.89127088852352099</v>
      </c>
      <c r="L17" s="22">
        <v>0.90907969491313301</v>
      </c>
      <c r="M17" s="22"/>
      <c r="N17" s="22">
        <v>0.85927368864797404</v>
      </c>
      <c r="O17" s="22">
        <v>0.87898657137612002</v>
      </c>
      <c r="P17" s="22">
        <v>0.92041953688400402</v>
      </c>
      <c r="Q17" s="22">
        <v>0.83454323365944505</v>
      </c>
      <c r="R17" s="22">
        <v>0.90073827997153899</v>
      </c>
      <c r="S17" s="22">
        <v>0.87287643105642998</v>
      </c>
      <c r="T17" s="22">
        <v>0.92665014210244301</v>
      </c>
      <c r="U17" s="22">
        <v>0.891565259991137</v>
      </c>
      <c r="V17" s="22">
        <v>0.85041393581281699</v>
      </c>
      <c r="W17" s="22"/>
      <c r="X17" s="22">
        <v>0.87448752245472605</v>
      </c>
      <c r="Y17" s="22">
        <v>0.89458564986521705</v>
      </c>
    </row>
    <row r="18" spans="2:25" x14ac:dyDescent="0.35">
      <c r="B18" s="16"/>
    </row>
    <row r="19" spans="2:25" x14ac:dyDescent="0.35">
      <c r="B19" t="s">
        <v>51</v>
      </c>
    </row>
    <row r="20" spans="2:25" x14ac:dyDescent="0.35">
      <c r="B20" t="s">
        <v>52</v>
      </c>
    </row>
    <row r="22" spans="2:25" x14ac:dyDescent="0.35">
      <c r="B22" s="8" t="str">
        <f>HYPERLINK("#'Contents'!A1", "Return to Contents")</f>
        <v>Return to Contents</v>
      </c>
    </row>
  </sheetData>
  <mergeCells count="5">
    <mergeCell ref="D5:E5"/>
    <mergeCell ref="G5:L5"/>
    <mergeCell ref="N5:V5"/>
    <mergeCell ref="X5:Y5"/>
    <mergeCell ref="D2:W2"/>
  </mergeCells>
  <pageMargins left="0.7" right="0.7" top="0.75" bottom="0.75" header="0.3" footer="0.3"/>
  <pageSetup paperSize="9" orientation="portrait" horizontalDpi="300" verticalDpi="300"/>
  <drawing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dimension ref="B2:Y22"/>
  <sheetViews>
    <sheetView showGridLines="0" topLeftCell="A7" workbookViewId="0">
      <pane xSplit="2" topLeftCell="C1" activePane="topRight" state="frozen"/>
      <selection pane="topRight" activeCell="C11" sqref="C11"/>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s>
  <sheetData>
    <row r="2" spans="2:25" ht="40" customHeight="1" x14ac:dyDescent="0.35">
      <c r="D2" s="30" t="s">
        <v>301</v>
      </c>
      <c r="E2" s="26"/>
      <c r="F2" s="26"/>
      <c r="G2" s="26"/>
      <c r="H2" s="26"/>
      <c r="I2" s="26"/>
      <c r="J2" s="26"/>
      <c r="K2" s="26"/>
      <c r="L2" s="26"/>
      <c r="M2" s="26"/>
      <c r="N2" s="26"/>
      <c r="O2" s="26"/>
      <c r="P2" s="26"/>
      <c r="Q2" s="26"/>
      <c r="R2" s="26"/>
      <c r="S2" s="26"/>
      <c r="T2" s="26"/>
      <c r="U2" s="26"/>
      <c r="V2" s="26"/>
      <c r="W2" s="26"/>
    </row>
    <row r="5" spans="2:25" ht="30" customHeight="1" x14ac:dyDescent="0.35">
      <c r="B5" s="15"/>
      <c r="C5" s="15"/>
      <c r="D5" s="29" t="s">
        <v>38</v>
      </c>
      <c r="E5" s="29"/>
      <c r="F5" s="15"/>
      <c r="G5" s="29" t="s">
        <v>39</v>
      </c>
      <c r="H5" s="29"/>
      <c r="I5" s="29"/>
      <c r="J5" s="29"/>
      <c r="K5" s="29"/>
      <c r="L5" s="29"/>
      <c r="M5" s="15"/>
      <c r="N5" s="29" t="s">
        <v>40</v>
      </c>
      <c r="O5" s="29"/>
      <c r="P5" s="29"/>
      <c r="Q5" s="29"/>
      <c r="R5" s="29"/>
      <c r="S5" s="29"/>
      <c r="T5" s="29"/>
      <c r="U5" s="29"/>
      <c r="V5" s="29"/>
      <c r="W5" s="15"/>
      <c r="X5" s="29" t="s">
        <v>41</v>
      </c>
      <c r="Y5" s="29"/>
    </row>
    <row r="6" spans="2:25" ht="29"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row>
    <row r="7" spans="2:25" ht="30" customHeight="1" x14ac:dyDescent="0.35">
      <c r="B7" s="10" t="s">
        <v>19</v>
      </c>
      <c r="C7" s="10">
        <v>6837</v>
      </c>
      <c r="D7" s="10">
        <v>3282</v>
      </c>
      <c r="E7" s="10">
        <v>3541</v>
      </c>
      <c r="F7" s="10"/>
      <c r="G7" s="10">
        <v>635</v>
      </c>
      <c r="H7" s="10">
        <v>1075</v>
      </c>
      <c r="I7" s="10">
        <v>1093</v>
      </c>
      <c r="J7" s="10">
        <v>1228</v>
      </c>
      <c r="K7" s="10">
        <v>1156</v>
      </c>
      <c r="L7" s="10">
        <v>1650</v>
      </c>
      <c r="M7" s="10"/>
      <c r="N7" s="10">
        <v>208</v>
      </c>
      <c r="O7" s="10">
        <v>199</v>
      </c>
      <c r="P7" s="10">
        <v>1002</v>
      </c>
      <c r="Q7" s="10">
        <v>1000</v>
      </c>
      <c r="R7" s="10">
        <v>1004</v>
      </c>
      <c r="S7" s="10">
        <v>1006</v>
      </c>
      <c r="T7" s="10">
        <v>1006</v>
      </c>
      <c r="U7" s="10">
        <v>1007</v>
      </c>
      <c r="V7" s="10">
        <v>405</v>
      </c>
      <c r="W7" s="10"/>
      <c r="X7" s="10">
        <v>2650</v>
      </c>
      <c r="Y7" s="10">
        <v>4187</v>
      </c>
    </row>
    <row r="8" spans="2:25" ht="30" customHeight="1" x14ac:dyDescent="0.35">
      <c r="B8" s="11" t="s">
        <v>20</v>
      </c>
      <c r="C8" s="11">
        <v>6837</v>
      </c>
      <c r="D8" s="11">
        <v>3308</v>
      </c>
      <c r="E8" s="11">
        <v>3515</v>
      </c>
      <c r="F8" s="11"/>
      <c r="G8" s="11">
        <v>645</v>
      </c>
      <c r="H8" s="11">
        <v>1026</v>
      </c>
      <c r="I8" s="11">
        <v>1111</v>
      </c>
      <c r="J8" s="11">
        <v>1184</v>
      </c>
      <c r="K8" s="11">
        <v>1140</v>
      </c>
      <c r="L8" s="11">
        <v>1732</v>
      </c>
      <c r="M8" s="11"/>
      <c r="N8" s="11">
        <v>208</v>
      </c>
      <c r="O8" s="11">
        <v>199</v>
      </c>
      <c r="P8" s="11">
        <v>1002</v>
      </c>
      <c r="Q8" s="11">
        <v>1000</v>
      </c>
      <c r="R8" s="11">
        <v>1004</v>
      </c>
      <c r="S8" s="11">
        <v>1006</v>
      </c>
      <c r="T8" s="11">
        <v>1006</v>
      </c>
      <c r="U8" s="11">
        <v>1007</v>
      </c>
      <c r="V8" s="11">
        <v>405</v>
      </c>
      <c r="W8" s="11"/>
      <c r="X8" s="11">
        <v>2436</v>
      </c>
      <c r="Y8" s="11">
        <v>4401</v>
      </c>
    </row>
    <row r="9" spans="2:25" x14ac:dyDescent="0.35">
      <c r="B9" s="18" t="s">
        <v>276</v>
      </c>
      <c r="C9" s="17">
        <v>0.52433411411575104</v>
      </c>
      <c r="D9" s="17">
        <v>0.46880394483513699</v>
      </c>
      <c r="E9" s="17">
        <v>0.57670831260129596</v>
      </c>
      <c r="F9" s="17"/>
      <c r="G9" s="17">
        <v>0.40282854537127599</v>
      </c>
      <c r="H9" s="17">
        <v>0.44371030055344501</v>
      </c>
      <c r="I9" s="17">
        <v>0.47088202748878999</v>
      </c>
      <c r="J9" s="17">
        <v>0.52074130680456199</v>
      </c>
      <c r="K9" s="17">
        <v>0.60820543351002698</v>
      </c>
      <c r="L9" s="17">
        <v>0.59884329716267404</v>
      </c>
      <c r="M9" s="17"/>
      <c r="N9" s="17">
        <v>0.51998399392472605</v>
      </c>
      <c r="O9" s="17">
        <v>0.45731402074070199</v>
      </c>
      <c r="P9" s="17">
        <v>0.44253774744440599</v>
      </c>
      <c r="Q9" s="17">
        <v>0.48483938270573901</v>
      </c>
      <c r="R9" s="17">
        <v>0.56126184440108295</v>
      </c>
      <c r="S9" s="17">
        <v>0.53437215181103204</v>
      </c>
      <c r="T9" s="17">
        <v>0.52893615592909204</v>
      </c>
      <c r="U9" s="17">
        <v>0.62136683813707705</v>
      </c>
      <c r="V9" s="17">
        <v>0.49027599325658699</v>
      </c>
      <c r="W9" s="17"/>
      <c r="X9" s="17">
        <v>0.51257298624841796</v>
      </c>
      <c r="Y9" s="17">
        <v>0.53084324991362097</v>
      </c>
    </row>
    <row r="10" spans="2:25" x14ac:dyDescent="0.35">
      <c r="B10" s="18" t="s">
        <v>277</v>
      </c>
      <c r="C10" s="17">
        <v>0.380978019916137</v>
      </c>
      <c r="D10" s="17">
        <v>0.42030247235553903</v>
      </c>
      <c r="E10" s="17">
        <v>0.34406845545947901</v>
      </c>
      <c r="F10" s="17"/>
      <c r="G10" s="17">
        <v>0.440893550962007</v>
      </c>
      <c r="H10" s="17">
        <v>0.43664817675550699</v>
      </c>
      <c r="I10" s="17">
        <v>0.42150685045562603</v>
      </c>
      <c r="J10" s="17">
        <v>0.37990864723268403</v>
      </c>
      <c r="K10" s="17">
        <v>0.32753382552809601</v>
      </c>
      <c r="L10" s="17">
        <v>0.33561987239427898</v>
      </c>
      <c r="M10" s="17"/>
      <c r="N10" s="17">
        <v>0.41202825479569199</v>
      </c>
      <c r="O10" s="17">
        <v>0.42232146137926502</v>
      </c>
      <c r="P10" s="17">
        <v>0.466240440017334</v>
      </c>
      <c r="Q10" s="17">
        <v>0.37927126997731903</v>
      </c>
      <c r="R10" s="17">
        <v>0.37626039235033398</v>
      </c>
      <c r="S10" s="17">
        <v>0.36411325077586099</v>
      </c>
      <c r="T10" s="17">
        <v>0.39877259657845598</v>
      </c>
      <c r="U10" s="17">
        <v>0.28330105487652502</v>
      </c>
      <c r="V10" s="17">
        <v>0.39019837496649101</v>
      </c>
      <c r="W10" s="17"/>
      <c r="X10" s="17">
        <v>0.40101973220678999</v>
      </c>
      <c r="Y10" s="17">
        <v>0.36988603720893098</v>
      </c>
    </row>
    <row r="11" spans="2:25" ht="29" x14ac:dyDescent="0.35">
      <c r="B11" s="18" t="s">
        <v>298</v>
      </c>
      <c r="C11" s="17">
        <v>6.6746891301097594E-2</v>
      </c>
      <c r="D11" s="17">
        <v>8.51905035710257E-2</v>
      </c>
      <c r="E11" s="17">
        <v>4.96544149156763E-2</v>
      </c>
      <c r="F11" s="17"/>
      <c r="G11" s="17">
        <v>0.11788129430085099</v>
      </c>
      <c r="H11" s="17">
        <v>9.0800892639126898E-2</v>
      </c>
      <c r="I11" s="17">
        <v>7.6940277047675407E-2</v>
      </c>
      <c r="J11" s="17">
        <v>6.7211351976569703E-2</v>
      </c>
      <c r="K11" s="17">
        <v>4.47171580659309E-2</v>
      </c>
      <c r="L11" s="17">
        <v>4.1112997141020999E-2</v>
      </c>
      <c r="M11" s="17"/>
      <c r="N11" s="17">
        <v>3.7089079116154E-2</v>
      </c>
      <c r="O11" s="17">
        <v>6.3174477800287301E-2</v>
      </c>
      <c r="P11" s="17">
        <v>6.17204493192628E-2</v>
      </c>
      <c r="Q11" s="17">
        <v>9.8655704227694194E-2</v>
      </c>
      <c r="R11" s="17">
        <v>3.7156882805136897E-2</v>
      </c>
      <c r="S11" s="17">
        <v>7.2832461940175994E-2</v>
      </c>
      <c r="T11" s="17">
        <v>5.6034214009983201E-2</v>
      </c>
      <c r="U11" s="17">
        <v>7.4717275268276498E-2</v>
      </c>
      <c r="V11" s="17">
        <v>8.2415594576800297E-2</v>
      </c>
      <c r="W11" s="17"/>
      <c r="X11" s="17">
        <v>6.2560437360457105E-2</v>
      </c>
      <c r="Y11" s="17">
        <v>6.9063862727523795E-2</v>
      </c>
    </row>
    <row r="12" spans="2:25" x14ac:dyDescent="0.35">
      <c r="B12" s="18" t="s">
        <v>279</v>
      </c>
      <c r="C12" s="17">
        <v>1.0942282383844299E-2</v>
      </c>
      <c r="D12" s="17">
        <v>1.3379039491618901E-2</v>
      </c>
      <c r="E12" s="17">
        <v>8.3781226755443809E-3</v>
      </c>
      <c r="F12" s="17"/>
      <c r="G12" s="17">
        <v>2.0381760738513E-2</v>
      </c>
      <c r="H12" s="17">
        <v>1.9726122235710301E-2</v>
      </c>
      <c r="I12" s="17">
        <v>1.8617472124782701E-2</v>
      </c>
      <c r="J12" s="17">
        <v>4.3972551392769503E-3</v>
      </c>
      <c r="K12" s="17">
        <v>5.0634947895047697E-3</v>
      </c>
      <c r="L12" s="17">
        <v>5.6464037346034496E-3</v>
      </c>
      <c r="M12" s="17"/>
      <c r="N12" s="17">
        <v>1.0644190190483399E-2</v>
      </c>
      <c r="O12" s="17">
        <v>4.2940473927358599E-3</v>
      </c>
      <c r="P12" s="17">
        <v>1.0744828122262301E-2</v>
      </c>
      <c r="Q12" s="17">
        <v>1.55832431708044E-2</v>
      </c>
      <c r="R12" s="17">
        <v>8.4877896124910795E-3</v>
      </c>
      <c r="S12" s="17">
        <v>1.18762468235157E-2</v>
      </c>
      <c r="T12" s="17">
        <v>9.8239611957779693E-3</v>
      </c>
      <c r="U12" s="17">
        <v>8.6976848619861897E-3</v>
      </c>
      <c r="V12" s="17">
        <v>1.55212440721987E-2</v>
      </c>
      <c r="W12" s="17"/>
      <c r="X12" s="17">
        <v>1.4112758408305E-2</v>
      </c>
      <c r="Y12" s="17">
        <v>9.1875987157562008E-3</v>
      </c>
    </row>
    <row r="13" spans="2:25" x14ac:dyDescent="0.35">
      <c r="B13" s="18" t="s">
        <v>280</v>
      </c>
      <c r="C13" s="17">
        <v>3.8674565100894598E-3</v>
      </c>
      <c r="D13" s="17">
        <v>3.7157710846019302E-3</v>
      </c>
      <c r="E13" s="17">
        <v>3.74979295114845E-3</v>
      </c>
      <c r="F13" s="17"/>
      <c r="G13" s="17">
        <v>6.5599044710462602E-3</v>
      </c>
      <c r="H13" s="17">
        <v>7.7968379948646605E-4</v>
      </c>
      <c r="I13" s="17">
        <v>2.6807913823495302E-3</v>
      </c>
      <c r="J13" s="17">
        <v>7.4593621017743604E-3</v>
      </c>
      <c r="K13" s="17">
        <v>1.66412503404384E-3</v>
      </c>
      <c r="L13" s="17">
        <v>4.4505357613046498E-3</v>
      </c>
      <c r="M13" s="17"/>
      <c r="N13" s="17">
        <v>0</v>
      </c>
      <c r="O13" s="17">
        <v>3.3701361388906999E-3</v>
      </c>
      <c r="P13" s="17">
        <v>2.9439360995336099E-3</v>
      </c>
      <c r="Q13" s="17">
        <v>6.0632464040227697E-3</v>
      </c>
      <c r="R13" s="17">
        <v>7.8589835499201597E-3</v>
      </c>
      <c r="S13" s="17">
        <v>3.6072823005107299E-3</v>
      </c>
      <c r="T13" s="17">
        <v>9.7626018625398203E-4</v>
      </c>
      <c r="U13" s="17">
        <v>3.43316186459668E-3</v>
      </c>
      <c r="V13" s="17">
        <v>1.9743281890844001E-3</v>
      </c>
      <c r="W13" s="17"/>
      <c r="X13" s="17">
        <v>3.41241278486186E-3</v>
      </c>
      <c r="Y13" s="17">
        <v>4.1192981221258203E-3</v>
      </c>
    </row>
    <row r="14" spans="2:25" x14ac:dyDescent="0.35">
      <c r="B14" s="18" t="s">
        <v>224</v>
      </c>
      <c r="C14" s="17">
        <v>1.3131235773080599E-2</v>
      </c>
      <c r="D14" s="17">
        <v>8.6082686620778098E-3</v>
      </c>
      <c r="E14" s="17">
        <v>1.74409013968552E-2</v>
      </c>
      <c r="F14" s="17"/>
      <c r="G14" s="17">
        <v>1.14549441563064E-2</v>
      </c>
      <c r="H14" s="17">
        <v>8.3348240167246193E-3</v>
      </c>
      <c r="I14" s="17">
        <v>9.3725815007767495E-3</v>
      </c>
      <c r="J14" s="17">
        <v>2.0282076745132899E-2</v>
      </c>
      <c r="K14" s="17">
        <v>1.2815963072398099E-2</v>
      </c>
      <c r="L14" s="17">
        <v>1.43268938061181E-2</v>
      </c>
      <c r="M14" s="17"/>
      <c r="N14" s="17">
        <v>2.0254481972943598E-2</v>
      </c>
      <c r="O14" s="17">
        <v>4.9525856548118599E-2</v>
      </c>
      <c r="P14" s="17">
        <v>1.5812598997200999E-2</v>
      </c>
      <c r="Q14" s="17">
        <v>1.55871535144213E-2</v>
      </c>
      <c r="R14" s="17">
        <v>8.9741072810354296E-3</v>
      </c>
      <c r="S14" s="17">
        <v>1.31986063489044E-2</v>
      </c>
      <c r="T14" s="17">
        <v>5.4568121004371596E-3</v>
      </c>
      <c r="U14" s="17">
        <v>8.4839849915380808E-3</v>
      </c>
      <c r="V14" s="17">
        <v>1.96144649388388E-2</v>
      </c>
      <c r="W14" s="17"/>
      <c r="X14" s="17">
        <v>6.3216729911683396E-3</v>
      </c>
      <c r="Y14" s="17">
        <v>1.6899953312041999E-2</v>
      </c>
    </row>
    <row r="15" spans="2:25" x14ac:dyDescent="0.35">
      <c r="B15" s="18" t="s">
        <v>281</v>
      </c>
      <c r="C15" s="21">
        <v>0.90531213403188804</v>
      </c>
      <c r="D15" s="21">
        <v>0.88910641719067596</v>
      </c>
      <c r="E15" s="21">
        <v>0.92077676806077602</v>
      </c>
      <c r="F15" s="21"/>
      <c r="G15" s="21">
        <v>0.84372209633328299</v>
      </c>
      <c r="H15" s="21">
        <v>0.880358477308952</v>
      </c>
      <c r="I15" s="21">
        <v>0.89238887794441601</v>
      </c>
      <c r="J15" s="21">
        <v>0.90064995403724601</v>
      </c>
      <c r="K15" s="21">
        <v>0.93573925903812205</v>
      </c>
      <c r="L15" s="21">
        <v>0.93446316955695297</v>
      </c>
      <c r="M15" s="21"/>
      <c r="N15" s="21">
        <v>0.93201224872041899</v>
      </c>
      <c r="O15" s="21">
        <v>0.879635482119967</v>
      </c>
      <c r="P15" s="21">
        <v>0.90877818746173999</v>
      </c>
      <c r="Q15" s="21">
        <v>0.86411065268305698</v>
      </c>
      <c r="R15" s="21">
        <v>0.93752223675141599</v>
      </c>
      <c r="S15" s="21">
        <v>0.89848540258689302</v>
      </c>
      <c r="T15" s="21">
        <v>0.92770875250754803</v>
      </c>
      <c r="U15" s="21">
        <v>0.90466789301360295</v>
      </c>
      <c r="V15" s="21">
        <v>0.88047436822307801</v>
      </c>
      <c r="W15" s="21"/>
      <c r="X15" s="21">
        <v>0.91359271845520795</v>
      </c>
      <c r="Y15" s="21">
        <v>0.90072928712255196</v>
      </c>
    </row>
    <row r="16" spans="2:25" x14ac:dyDescent="0.35">
      <c r="B16" s="18" t="s">
        <v>282</v>
      </c>
      <c r="C16" s="21">
        <v>1.4809738893933701E-2</v>
      </c>
      <c r="D16" s="21">
        <v>1.7094810576220799E-2</v>
      </c>
      <c r="E16" s="21">
        <v>1.21279156266928E-2</v>
      </c>
      <c r="F16" s="21"/>
      <c r="G16" s="21">
        <v>2.6941665209559301E-2</v>
      </c>
      <c r="H16" s="21">
        <v>2.0505806035196798E-2</v>
      </c>
      <c r="I16" s="21">
        <v>2.1298263507132199E-2</v>
      </c>
      <c r="J16" s="21">
        <v>1.18566172410513E-2</v>
      </c>
      <c r="K16" s="21">
        <v>6.7276198235486102E-3</v>
      </c>
      <c r="L16" s="21">
        <v>1.00969394959081E-2</v>
      </c>
      <c r="M16" s="21"/>
      <c r="N16" s="21">
        <v>1.0644190190483399E-2</v>
      </c>
      <c r="O16" s="21">
        <v>7.6641835316265602E-3</v>
      </c>
      <c r="P16" s="21">
        <v>1.36887642217959E-2</v>
      </c>
      <c r="Q16" s="21">
        <v>2.1646489574827201E-2</v>
      </c>
      <c r="R16" s="21">
        <v>1.6346773162411201E-2</v>
      </c>
      <c r="S16" s="21">
        <v>1.54835291240264E-2</v>
      </c>
      <c r="T16" s="21">
        <v>1.08002213820319E-2</v>
      </c>
      <c r="U16" s="21">
        <v>1.21308467265829E-2</v>
      </c>
      <c r="V16" s="21">
        <v>1.74955722612831E-2</v>
      </c>
      <c r="W16" s="21"/>
      <c r="X16" s="21">
        <v>1.7525171193166902E-2</v>
      </c>
      <c r="Y16" s="21">
        <v>1.3306896837882E-2</v>
      </c>
    </row>
    <row r="17" spans="2:25" x14ac:dyDescent="0.35">
      <c r="B17" s="18" t="s">
        <v>92</v>
      </c>
      <c r="C17" s="22">
        <v>0.89050239513795404</v>
      </c>
      <c r="D17" s="22">
        <v>0.87201160661445498</v>
      </c>
      <c r="E17" s="22">
        <v>0.908648852434083</v>
      </c>
      <c r="F17" s="22"/>
      <c r="G17" s="22">
        <v>0.816780431123724</v>
      </c>
      <c r="H17" s="22">
        <v>0.85985267127375498</v>
      </c>
      <c r="I17" s="22">
        <v>0.87109061443728297</v>
      </c>
      <c r="J17" s="22">
        <v>0.88879333679619499</v>
      </c>
      <c r="K17" s="22">
        <v>0.92901163921457397</v>
      </c>
      <c r="L17" s="22">
        <v>0.92436623006104501</v>
      </c>
      <c r="M17" s="22"/>
      <c r="N17" s="22">
        <v>0.92136805852993597</v>
      </c>
      <c r="O17" s="22">
        <v>0.87197129858834099</v>
      </c>
      <c r="P17" s="22">
        <v>0.895089423239944</v>
      </c>
      <c r="Q17" s="22">
        <v>0.84246416310823002</v>
      </c>
      <c r="R17" s="22">
        <v>0.92117546358900504</v>
      </c>
      <c r="S17" s="22">
        <v>0.88300187346286696</v>
      </c>
      <c r="T17" s="22">
        <v>0.91690853112551596</v>
      </c>
      <c r="U17" s="22">
        <v>0.89253704628702002</v>
      </c>
      <c r="V17" s="22">
        <v>0.86297879596179505</v>
      </c>
      <c r="W17" s="22"/>
      <c r="X17" s="22">
        <v>0.89606754726204096</v>
      </c>
      <c r="Y17" s="22">
        <v>0.88742239028466996</v>
      </c>
    </row>
    <row r="18" spans="2:25" x14ac:dyDescent="0.35">
      <c r="B18" s="35" t="s">
        <v>50</v>
      </c>
    </row>
    <row r="19" spans="2:25" x14ac:dyDescent="0.35">
      <c r="B19" t="s">
        <v>51</v>
      </c>
    </row>
    <row r="20" spans="2:25" x14ac:dyDescent="0.35">
      <c r="B20" t="s">
        <v>52</v>
      </c>
    </row>
    <row r="22" spans="2:25" x14ac:dyDescent="0.35">
      <c r="B22" s="8" t="str">
        <f>HYPERLINK("#'Contents'!A1", "Return to Contents")</f>
        <v>Return to Contents</v>
      </c>
    </row>
  </sheetData>
  <mergeCells count="5">
    <mergeCell ref="D5:E5"/>
    <mergeCell ref="G5:L5"/>
    <mergeCell ref="N5:V5"/>
    <mergeCell ref="X5:Y5"/>
    <mergeCell ref="D2:W2"/>
  </mergeCells>
  <pageMargins left="0.7" right="0.7" top="0.75" bottom="0.75" header="0.3" footer="0.3"/>
  <pageSetup paperSize="9" orientation="portrait" horizontalDpi="300" verticalDpi="300"/>
  <drawing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dimension ref="B2:Y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s>
  <sheetData>
    <row r="2" spans="2:25" ht="40" customHeight="1" x14ac:dyDescent="0.35">
      <c r="D2" s="30" t="s">
        <v>302</v>
      </c>
      <c r="E2" s="26"/>
      <c r="F2" s="26"/>
      <c r="G2" s="26"/>
      <c r="H2" s="26"/>
      <c r="I2" s="26"/>
      <c r="J2" s="26"/>
      <c r="K2" s="26"/>
      <c r="L2" s="26"/>
      <c r="M2" s="26"/>
      <c r="N2" s="26"/>
      <c r="O2" s="26"/>
      <c r="P2" s="26"/>
      <c r="Q2" s="26"/>
      <c r="R2" s="26"/>
      <c r="S2" s="26"/>
      <c r="T2" s="26"/>
      <c r="U2" s="26"/>
      <c r="V2" s="26"/>
      <c r="W2" s="26"/>
    </row>
    <row r="5" spans="2:25" ht="30" customHeight="1" x14ac:dyDescent="0.35">
      <c r="B5" s="15"/>
      <c r="C5" s="15"/>
      <c r="D5" s="29" t="s">
        <v>38</v>
      </c>
      <c r="E5" s="29"/>
      <c r="F5" s="15"/>
      <c r="G5" s="29" t="s">
        <v>39</v>
      </c>
      <c r="H5" s="29"/>
      <c r="I5" s="29"/>
      <c r="J5" s="29"/>
      <c r="K5" s="29"/>
      <c r="L5" s="29"/>
      <c r="M5" s="15"/>
      <c r="N5" s="29" t="s">
        <v>40</v>
      </c>
      <c r="O5" s="29"/>
      <c r="P5" s="29"/>
      <c r="Q5" s="29"/>
      <c r="R5" s="29"/>
      <c r="S5" s="29"/>
      <c r="T5" s="29"/>
      <c r="U5" s="29"/>
      <c r="V5" s="29"/>
      <c r="W5" s="15"/>
      <c r="X5" s="29" t="s">
        <v>41</v>
      </c>
      <c r="Y5" s="29"/>
    </row>
    <row r="6" spans="2:25" ht="29"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row>
    <row r="7" spans="2:25" ht="30" customHeight="1" x14ac:dyDescent="0.35">
      <c r="B7" s="10" t="s">
        <v>19</v>
      </c>
      <c r="C7" s="10">
        <v>6838</v>
      </c>
      <c r="D7" s="10">
        <v>3283</v>
      </c>
      <c r="E7" s="10">
        <v>3541</v>
      </c>
      <c r="F7" s="10"/>
      <c r="G7" s="10">
        <v>635</v>
      </c>
      <c r="H7" s="10">
        <v>1075</v>
      </c>
      <c r="I7" s="10">
        <v>1093</v>
      </c>
      <c r="J7" s="10">
        <v>1228</v>
      </c>
      <c r="K7" s="10">
        <v>1156</v>
      </c>
      <c r="L7" s="10">
        <v>1651</v>
      </c>
      <c r="M7" s="10"/>
      <c r="N7" s="10">
        <v>208</v>
      </c>
      <c r="O7" s="10">
        <v>200</v>
      </c>
      <c r="P7" s="10">
        <v>1002</v>
      </c>
      <c r="Q7" s="10">
        <v>1000</v>
      </c>
      <c r="R7" s="10">
        <v>1004</v>
      </c>
      <c r="S7" s="10">
        <v>1006</v>
      </c>
      <c r="T7" s="10">
        <v>1006</v>
      </c>
      <c r="U7" s="10">
        <v>1007</v>
      </c>
      <c r="V7" s="10">
        <v>405</v>
      </c>
      <c r="W7" s="10"/>
      <c r="X7" s="10">
        <v>2650</v>
      </c>
      <c r="Y7" s="10">
        <v>4188</v>
      </c>
    </row>
    <row r="8" spans="2:25" ht="30" customHeight="1" x14ac:dyDescent="0.35">
      <c r="B8" s="11" t="s">
        <v>20</v>
      </c>
      <c r="C8" s="11">
        <v>6838</v>
      </c>
      <c r="D8" s="11">
        <v>3309</v>
      </c>
      <c r="E8" s="11">
        <v>3515</v>
      </c>
      <c r="F8" s="11"/>
      <c r="G8" s="11">
        <v>645</v>
      </c>
      <c r="H8" s="11">
        <v>1026</v>
      </c>
      <c r="I8" s="11">
        <v>1111</v>
      </c>
      <c r="J8" s="11">
        <v>1184</v>
      </c>
      <c r="K8" s="11">
        <v>1140</v>
      </c>
      <c r="L8" s="11">
        <v>1732</v>
      </c>
      <c r="M8" s="11"/>
      <c r="N8" s="11">
        <v>208</v>
      </c>
      <c r="O8" s="11">
        <v>200</v>
      </c>
      <c r="P8" s="11">
        <v>1002</v>
      </c>
      <c r="Q8" s="11">
        <v>1000</v>
      </c>
      <c r="R8" s="11">
        <v>1004</v>
      </c>
      <c r="S8" s="11">
        <v>1006</v>
      </c>
      <c r="T8" s="11">
        <v>1006</v>
      </c>
      <c r="U8" s="11">
        <v>1007</v>
      </c>
      <c r="V8" s="11">
        <v>405</v>
      </c>
      <c r="W8" s="11"/>
      <c r="X8" s="11">
        <v>2436</v>
      </c>
      <c r="Y8" s="11">
        <v>4402</v>
      </c>
    </row>
    <row r="9" spans="2:25" x14ac:dyDescent="0.35">
      <c r="B9" s="18" t="s">
        <v>276</v>
      </c>
      <c r="C9" s="17">
        <v>0.41022940445072298</v>
      </c>
      <c r="D9" s="17">
        <v>0.39462140984565103</v>
      </c>
      <c r="E9" s="17">
        <v>0.42467961391025699</v>
      </c>
      <c r="F9" s="17"/>
      <c r="G9" s="17">
        <v>0.36421666799451002</v>
      </c>
      <c r="H9" s="17">
        <v>0.394093749217446</v>
      </c>
      <c r="I9" s="17">
        <v>0.41005503381778002</v>
      </c>
      <c r="J9" s="17">
        <v>0.41807856864155901</v>
      </c>
      <c r="K9" s="17">
        <v>0.44495685195165602</v>
      </c>
      <c r="L9" s="17">
        <v>0.40879481195333001</v>
      </c>
      <c r="M9" s="17"/>
      <c r="N9" s="17">
        <v>0.48277242373560902</v>
      </c>
      <c r="O9" s="17">
        <v>0.39548716160949599</v>
      </c>
      <c r="P9" s="17">
        <v>0.30364945765034101</v>
      </c>
      <c r="Q9" s="17">
        <v>0.32991120738170299</v>
      </c>
      <c r="R9" s="17">
        <v>0.42726909954880798</v>
      </c>
      <c r="S9" s="17">
        <v>0.418708299203018</v>
      </c>
      <c r="T9" s="17">
        <v>0.38835027994472898</v>
      </c>
      <c r="U9" s="17">
        <v>0.57369756410946804</v>
      </c>
      <c r="V9" s="17">
        <v>0.42684951506154001</v>
      </c>
      <c r="W9" s="17"/>
      <c r="X9" s="17">
        <v>0.43038569245675801</v>
      </c>
      <c r="Y9" s="17">
        <v>0.39907558938177201</v>
      </c>
    </row>
    <row r="10" spans="2:25" x14ac:dyDescent="0.35">
      <c r="B10" s="18" t="s">
        <v>277</v>
      </c>
      <c r="C10" s="17">
        <v>0.44116465025165702</v>
      </c>
      <c r="D10" s="17">
        <v>0.44937008030478398</v>
      </c>
      <c r="E10" s="17">
        <v>0.43342686268173097</v>
      </c>
      <c r="F10" s="17"/>
      <c r="G10" s="17">
        <v>0.45123959816763298</v>
      </c>
      <c r="H10" s="17">
        <v>0.45395103642790702</v>
      </c>
      <c r="I10" s="17">
        <v>0.448303563272059</v>
      </c>
      <c r="J10" s="17">
        <v>0.43129820543775199</v>
      </c>
      <c r="K10" s="17">
        <v>0.42238608429596802</v>
      </c>
      <c r="L10" s="17">
        <v>0.44436930906085897</v>
      </c>
      <c r="M10" s="17"/>
      <c r="N10" s="17">
        <v>0.39017330427174901</v>
      </c>
      <c r="O10" s="17">
        <v>0.50477949306326497</v>
      </c>
      <c r="P10" s="17">
        <v>0.52348020694248099</v>
      </c>
      <c r="Q10" s="17">
        <v>0.44820898835341799</v>
      </c>
      <c r="R10" s="17">
        <v>0.47747653379888699</v>
      </c>
      <c r="S10" s="17">
        <v>0.41380908443501901</v>
      </c>
      <c r="T10" s="17">
        <v>0.47507634334115201</v>
      </c>
      <c r="U10" s="17">
        <v>0.31422584422803201</v>
      </c>
      <c r="V10" s="17">
        <v>0.42421029974156199</v>
      </c>
      <c r="W10" s="17"/>
      <c r="X10" s="17">
        <v>0.44118911010775902</v>
      </c>
      <c r="Y10" s="17">
        <v>0.44115111498606202</v>
      </c>
    </row>
    <row r="11" spans="2:25" ht="29" x14ac:dyDescent="0.35">
      <c r="B11" s="18" t="s">
        <v>298</v>
      </c>
      <c r="C11" s="17">
        <v>0.106858467003536</v>
      </c>
      <c r="D11" s="17">
        <v>0.117802428646704</v>
      </c>
      <c r="E11" s="17">
        <v>9.6645122977759998E-2</v>
      </c>
      <c r="F11" s="17"/>
      <c r="G11" s="17">
        <v>0.141924833887317</v>
      </c>
      <c r="H11" s="17">
        <v>0.11821749556518001</v>
      </c>
      <c r="I11" s="17">
        <v>0.104983265620283</v>
      </c>
      <c r="J11" s="17">
        <v>0.102799587889497</v>
      </c>
      <c r="K11" s="17">
        <v>9.51999005681754E-2</v>
      </c>
      <c r="L11" s="17">
        <v>9.8734637191614294E-2</v>
      </c>
      <c r="M11" s="17"/>
      <c r="N11" s="17">
        <v>8.8581595775982999E-2</v>
      </c>
      <c r="O11" s="17">
        <v>6.4055952061713606E-2</v>
      </c>
      <c r="P11" s="17">
        <v>0.125061346345887</v>
      </c>
      <c r="Q11" s="17">
        <v>0.165194818944567</v>
      </c>
      <c r="R11" s="17">
        <v>6.5575713305855599E-2</v>
      </c>
      <c r="S11" s="17">
        <v>0.109897786577748</v>
      </c>
      <c r="T11" s="17">
        <v>9.3302132433021004E-2</v>
      </c>
      <c r="U11" s="17">
        <v>9.5740889161097603E-2</v>
      </c>
      <c r="V11" s="17">
        <v>0.10441367156579</v>
      </c>
      <c r="W11" s="17"/>
      <c r="X11" s="17">
        <v>9.6963063948425396E-2</v>
      </c>
      <c r="Y11" s="17">
        <v>0.112334251814528</v>
      </c>
    </row>
    <row r="12" spans="2:25" x14ac:dyDescent="0.35">
      <c r="B12" s="18" t="s">
        <v>279</v>
      </c>
      <c r="C12" s="17">
        <v>9.4554645605859893E-3</v>
      </c>
      <c r="D12" s="17">
        <v>1.1632271213892299E-2</v>
      </c>
      <c r="E12" s="17">
        <v>7.4440526812505504E-3</v>
      </c>
      <c r="F12" s="17"/>
      <c r="G12" s="17">
        <v>1.55944317383472E-2</v>
      </c>
      <c r="H12" s="17">
        <v>1.47690427995883E-2</v>
      </c>
      <c r="I12" s="17">
        <v>1.37859410329559E-2</v>
      </c>
      <c r="J12" s="17">
        <v>7.2665220295287996E-3</v>
      </c>
      <c r="K12" s="17">
        <v>4.0526513074714702E-3</v>
      </c>
      <c r="L12" s="17">
        <v>6.2995617442887404E-3</v>
      </c>
      <c r="M12" s="17"/>
      <c r="N12" s="17">
        <v>5.15564101795404E-3</v>
      </c>
      <c r="O12" s="17">
        <v>6.9140949066664199E-3</v>
      </c>
      <c r="P12" s="17">
        <v>9.1638183499566598E-3</v>
      </c>
      <c r="Q12" s="17">
        <v>2.2762134735326799E-2</v>
      </c>
      <c r="R12" s="17">
        <v>4.9323077168266097E-3</v>
      </c>
      <c r="S12" s="17">
        <v>1.1678638319354E-2</v>
      </c>
      <c r="T12" s="17">
        <v>7.7371691590038798E-3</v>
      </c>
      <c r="U12" s="17">
        <v>3.7053291265420302E-3</v>
      </c>
      <c r="V12" s="17">
        <v>5.0404640219412298E-3</v>
      </c>
      <c r="W12" s="17"/>
      <c r="X12" s="17">
        <v>1.1421263595167E-2</v>
      </c>
      <c r="Y12" s="17">
        <v>8.3676571782011003E-3</v>
      </c>
    </row>
    <row r="13" spans="2:25" x14ac:dyDescent="0.35">
      <c r="B13" s="18" t="s">
        <v>280</v>
      </c>
      <c r="C13" s="17">
        <v>5.3374924424152599E-3</v>
      </c>
      <c r="D13" s="17">
        <v>5.3832745963031002E-3</v>
      </c>
      <c r="E13" s="17">
        <v>5.3157505953380698E-3</v>
      </c>
      <c r="F13" s="17"/>
      <c r="G13" s="17">
        <v>1.28387039758786E-2</v>
      </c>
      <c r="H13" s="17">
        <v>3.6691496384773101E-3</v>
      </c>
      <c r="I13" s="17">
        <v>1.68318222371498E-3</v>
      </c>
      <c r="J13" s="17">
        <v>6.9984033247869103E-3</v>
      </c>
      <c r="K13" s="17">
        <v>3.47121996869443E-3</v>
      </c>
      <c r="L13" s="17">
        <v>5.9710771734256601E-3</v>
      </c>
      <c r="M13" s="17"/>
      <c r="N13" s="17">
        <v>4.4419320092141199E-3</v>
      </c>
      <c r="O13" s="17">
        <v>0</v>
      </c>
      <c r="P13" s="17">
        <v>4.8397748553429196E-3</v>
      </c>
      <c r="Q13" s="17">
        <v>7.8270931410444507E-3</v>
      </c>
      <c r="R13" s="17">
        <v>6.1062543162786302E-3</v>
      </c>
      <c r="S13" s="17">
        <v>6.5568097114477404E-3</v>
      </c>
      <c r="T13" s="17">
        <v>3.7004635358307099E-3</v>
      </c>
      <c r="U13" s="17">
        <v>4.3436697409760701E-3</v>
      </c>
      <c r="V13" s="17">
        <v>5.1203265870425098E-3</v>
      </c>
      <c r="W13" s="17"/>
      <c r="X13" s="17">
        <v>3.6552584437810199E-3</v>
      </c>
      <c r="Y13" s="17">
        <v>6.2683844259913803E-3</v>
      </c>
    </row>
    <row r="14" spans="2:25" x14ac:dyDescent="0.35">
      <c r="B14" s="18" t="s">
        <v>224</v>
      </c>
      <c r="C14" s="17">
        <v>2.6954521291082601E-2</v>
      </c>
      <c r="D14" s="17">
        <v>2.1190535392665098E-2</v>
      </c>
      <c r="E14" s="17">
        <v>3.2488597153662799E-2</v>
      </c>
      <c r="F14" s="17"/>
      <c r="G14" s="17">
        <v>1.4185764236314E-2</v>
      </c>
      <c r="H14" s="17">
        <v>1.5299526351401801E-2</v>
      </c>
      <c r="I14" s="17">
        <v>2.1189014033206801E-2</v>
      </c>
      <c r="J14" s="17">
        <v>3.3558712676876497E-2</v>
      </c>
      <c r="K14" s="17">
        <v>2.9933291908034801E-2</v>
      </c>
      <c r="L14" s="17">
        <v>3.58306028764823E-2</v>
      </c>
      <c r="M14" s="17"/>
      <c r="N14" s="17">
        <v>2.8875103189490801E-2</v>
      </c>
      <c r="O14" s="17">
        <v>2.87632983588594E-2</v>
      </c>
      <c r="P14" s="17">
        <v>3.3805395855991301E-2</v>
      </c>
      <c r="Q14" s="17">
        <v>2.6095757443940399E-2</v>
      </c>
      <c r="R14" s="17">
        <v>1.86400913133439E-2</v>
      </c>
      <c r="S14" s="17">
        <v>3.9349381753413001E-2</v>
      </c>
      <c r="T14" s="17">
        <v>3.1833611586263598E-2</v>
      </c>
      <c r="U14" s="17">
        <v>8.2867036338838407E-3</v>
      </c>
      <c r="V14" s="17">
        <v>3.4365723022124199E-2</v>
      </c>
      <c r="W14" s="17"/>
      <c r="X14" s="17">
        <v>1.63856114481092E-2</v>
      </c>
      <c r="Y14" s="17">
        <v>3.2803002213445599E-2</v>
      </c>
    </row>
    <row r="15" spans="2:25" x14ac:dyDescent="0.35">
      <c r="B15" s="18" t="s">
        <v>281</v>
      </c>
      <c r="C15" s="21">
        <v>0.85139405470238005</v>
      </c>
      <c r="D15" s="21">
        <v>0.84399149015043495</v>
      </c>
      <c r="E15" s="21">
        <v>0.85810647659198902</v>
      </c>
      <c r="F15" s="21"/>
      <c r="G15" s="21">
        <v>0.81545626616214395</v>
      </c>
      <c r="H15" s="21">
        <v>0.84804478564535302</v>
      </c>
      <c r="I15" s="21">
        <v>0.85835859708983897</v>
      </c>
      <c r="J15" s="21">
        <v>0.84937677407931</v>
      </c>
      <c r="K15" s="21">
        <v>0.86734293624762404</v>
      </c>
      <c r="L15" s="21">
        <v>0.85316412101418904</v>
      </c>
      <c r="M15" s="21"/>
      <c r="N15" s="21">
        <v>0.87294572800735803</v>
      </c>
      <c r="O15" s="21">
        <v>0.90026665467276001</v>
      </c>
      <c r="P15" s="21">
        <v>0.827129664592822</v>
      </c>
      <c r="Q15" s="21">
        <v>0.77812019573512103</v>
      </c>
      <c r="R15" s="21">
        <v>0.90474563334769498</v>
      </c>
      <c r="S15" s="21">
        <v>0.83251738363803696</v>
      </c>
      <c r="T15" s="21">
        <v>0.86342662328588105</v>
      </c>
      <c r="U15" s="21">
        <v>0.88792340833750005</v>
      </c>
      <c r="V15" s="21">
        <v>0.851059814803102</v>
      </c>
      <c r="W15" s="21"/>
      <c r="X15" s="21">
        <v>0.87157480256451703</v>
      </c>
      <c r="Y15" s="21">
        <v>0.84022670436783398</v>
      </c>
    </row>
    <row r="16" spans="2:25" x14ac:dyDescent="0.35">
      <c r="B16" s="18" t="s">
        <v>282</v>
      </c>
      <c r="C16" s="21">
        <v>1.47929570030013E-2</v>
      </c>
      <c r="D16" s="21">
        <v>1.70155458101954E-2</v>
      </c>
      <c r="E16" s="21">
        <v>1.2759803276588599E-2</v>
      </c>
      <c r="F16" s="21"/>
      <c r="G16" s="21">
        <v>2.8433135714225798E-2</v>
      </c>
      <c r="H16" s="21">
        <v>1.8438192438065701E-2</v>
      </c>
      <c r="I16" s="21">
        <v>1.5469123256670899E-2</v>
      </c>
      <c r="J16" s="21">
        <v>1.42649253543157E-2</v>
      </c>
      <c r="K16" s="21">
        <v>7.5238712761659101E-3</v>
      </c>
      <c r="L16" s="21">
        <v>1.22706389177144E-2</v>
      </c>
      <c r="M16" s="21"/>
      <c r="N16" s="21">
        <v>9.59757302716816E-3</v>
      </c>
      <c r="O16" s="21">
        <v>6.9140949066664199E-3</v>
      </c>
      <c r="P16" s="21">
        <v>1.40035932052996E-2</v>
      </c>
      <c r="Q16" s="21">
        <v>3.0589227876371201E-2</v>
      </c>
      <c r="R16" s="21">
        <v>1.1038562033105199E-2</v>
      </c>
      <c r="S16" s="21">
        <v>1.8235448030801699E-2</v>
      </c>
      <c r="T16" s="21">
        <v>1.1437632694834599E-2</v>
      </c>
      <c r="U16" s="21">
        <v>8.0489988675181007E-3</v>
      </c>
      <c r="V16" s="21">
        <v>1.01607906089837E-2</v>
      </c>
      <c r="W16" s="21"/>
      <c r="X16" s="21">
        <v>1.50765220389481E-2</v>
      </c>
      <c r="Y16" s="21">
        <v>1.4636041604192501E-2</v>
      </c>
    </row>
    <row r="17" spans="2:25" x14ac:dyDescent="0.35">
      <c r="B17" s="18" t="s">
        <v>92</v>
      </c>
      <c r="C17" s="22">
        <v>0.83660109769937896</v>
      </c>
      <c r="D17" s="22">
        <v>0.82697594434024002</v>
      </c>
      <c r="E17" s="22">
        <v>0.84534667331540003</v>
      </c>
      <c r="F17" s="22"/>
      <c r="G17" s="22">
        <v>0.78702313044791805</v>
      </c>
      <c r="H17" s="22">
        <v>0.82960659320728702</v>
      </c>
      <c r="I17" s="22">
        <v>0.84288947383316803</v>
      </c>
      <c r="J17" s="22">
        <v>0.835111848724995</v>
      </c>
      <c r="K17" s="22">
        <v>0.85981906497145799</v>
      </c>
      <c r="L17" s="22">
        <v>0.84089348209647496</v>
      </c>
      <c r="M17" s="22"/>
      <c r="N17" s="22">
        <v>0.86334815498019002</v>
      </c>
      <c r="O17" s="22">
        <v>0.89335255976609396</v>
      </c>
      <c r="P17" s="22">
        <v>0.81312607138752202</v>
      </c>
      <c r="Q17" s="22">
        <v>0.74753096785874995</v>
      </c>
      <c r="R17" s="22">
        <v>0.89370707131459004</v>
      </c>
      <c r="S17" s="22">
        <v>0.81428193560723605</v>
      </c>
      <c r="T17" s="22">
        <v>0.85198899059104605</v>
      </c>
      <c r="U17" s="22">
        <v>0.87987440946998197</v>
      </c>
      <c r="V17" s="22">
        <v>0.84089902419411799</v>
      </c>
      <c r="W17" s="22"/>
      <c r="X17" s="22">
        <v>0.85649828052556898</v>
      </c>
      <c r="Y17" s="22">
        <v>0.82559066276364101</v>
      </c>
    </row>
    <row r="18" spans="2:25" x14ac:dyDescent="0.35">
      <c r="B18" s="16"/>
    </row>
    <row r="19" spans="2:25" x14ac:dyDescent="0.35">
      <c r="B19" t="s">
        <v>51</v>
      </c>
    </row>
    <row r="20" spans="2:25" x14ac:dyDescent="0.35">
      <c r="B20" t="s">
        <v>52</v>
      </c>
    </row>
    <row r="22" spans="2:25" x14ac:dyDescent="0.35">
      <c r="B22" s="8" t="str">
        <f>HYPERLINK("#'Contents'!A1", "Return to Contents")</f>
        <v>Return to Contents</v>
      </c>
    </row>
  </sheetData>
  <mergeCells count="5">
    <mergeCell ref="D5:E5"/>
    <mergeCell ref="G5:L5"/>
    <mergeCell ref="N5:V5"/>
    <mergeCell ref="X5:Y5"/>
    <mergeCell ref="D2:W2"/>
  </mergeCells>
  <pageMargins left="0.7" right="0.7" top="0.75" bottom="0.75" header="0.3" footer="0.3"/>
  <pageSetup paperSize="9" orientation="portrait" horizontalDpi="300" verticalDpi="300"/>
  <drawing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dimension ref="B2:Y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s>
  <sheetData>
    <row r="2" spans="2:25" ht="40" customHeight="1" x14ac:dyDescent="0.35">
      <c r="D2" s="30" t="s">
        <v>303</v>
      </c>
      <c r="E2" s="26"/>
      <c r="F2" s="26"/>
      <c r="G2" s="26"/>
      <c r="H2" s="26"/>
      <c r="I2" s="26"/>
      <c r="J2" s="26"/>
      <c r="K2" s="26"/>
      <c r="L2" s="26"/>
      <c r="M2" s="26"/>
      <c r="N2" s="26"/>
      <c r="O2" s="26"/>
      <c r="P2" s="26"/>
      <c r="Q2" s="26"/>
      <c r="R2" s="26"/>
      <c r="S2" s="26"/>
      <c r="T2" s="26"/>
      <c r="U2" s="26"/>
      <c r="V2" s="26"/>
      <c r="W2" s="26"/>
    </row>
    <row r="5" spans="2:25" ht="30" customHeight="1" x14ac:dyDescent="0.35">
      <c r="B5" s="15"/>
      <c r="C5" s="15"/>
      <c r="D5" s="29" t="s">
        <v>38</v>
      </c>
      <c r="E5" s="29"/>
      <c r="F5" s="15"/>
      <c r="G5" s="29" t="s">
        <v>39</v>
      </c>
      <c r="H5" s="29"/>
      <c r="I5" s="29"/>
      <c r="J5" s="29"/>
      <c r="K5" s="29"/>
      <c r="L5" s="29"/>
      <c r="M5" s="15"/>
      <c r="N5" s="29" t="s">
        <v>40</v>
      </c>
      <c r="O5" s="29"/>
      <c r="P5" s="29"/>
      <c r="Q5" s="29"/>
      <c r="R5" s="29"/>
      <c r="S5" s="29"/>
      <c r="T5" s="29"/>
      <c r="U5" s="29"/>
      <c r="V5" s="29"/>
      <c r="W5" s="15"/>
      <c r="X5" s="29" t="s">
        <v>41</v>
      </c>
      <c r="Y5" s="29"/>
    </row>
    <row r="6" spans="2:25" ht="29"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row>
    <row r="7" spans="2:25" ht="30" customHeight="1" x14ac:dyDescent="0.35">
      <c r="B7" s="10" t="s">
        <v>19</v>
      </c>
      <c r="C7" s="10">
        <v>6838</v>
      </c>
      <c r="D7" s="10">
        <v>3283</v>
      </c>
      <c r="E7" s="10">
        <v>3541</v>
      </c>
      <c r="F7" s="10"/>
      <c r="G7" s="10">
        <v>635</v>
      </c>
      <c r="H7" s="10">
        <v>1075</v>
      </c>
      <c r="I7" s="10">
        <v>1093</v>
      </c>
      <c r="J7" s="10">
        <v>1228</v>
      </c>
      <c r="K7" s="10">
        <v>1156</v>
      </c>
      <c r="L7" s="10">
        <v>1651</v>
      </c>
      <c r="M7" s="10"/>
      <c r="N7" s="10">
        <v>208</v>
      </c>
      <c r="O7" s="10">
        <v>200</v>
      </c>
      <c r="P7" s="10">
        <v>1002</v>
      </c>
      <c r="Q7" s="10">
        <v>1000</v>
      </c>
      <c r="R7" s="10">
        <v>1004</v>
      </c>
      <c r="S7" s="10">
        <v>1006</v>
      </c>
      <c r="T7" s="10">
        <v>1006</v>
      </c>
      <c r="U7" s="10">
        <v>1007</v>
      </c>
      <c r="V7" s="10">
        <v>405</v>
      </c>
      <c r="W7" s="10"/>
      <c r="X7" s="10">
        <v>2650</v>
      </c>
      <c r="Y7" s="10">
        <v>4188</v>
      </c>
    </row>
    <row r="8" spans="2:25" ht="30" customHeight="1" x14ac:dyDescent="0.35">
      <c r="B8" s="11" t="s">
        <v>20</v>
      </c>
      <c r="C8" s="11">
        <v>6838</v>
      </c>
      <c r="D8" s="11">
        <v>3309</v>
      </c>
      <c r="E8" s="11">
        <v>3515</v>
      </c>
      <c r="F8" s="11"/>
      <c r="G8" s="11">
        <v>645</v>
      </c>
      <c r="H8" s="11">
        <v>1026</v>
      </c>
      <c r="I8" s="11">
        <v>1111</v>
      </c>
      <c r="J8" s="11">
        <v>1184</v>
      </c>
      <c r="K8" s="11">
        <v>1140</v>
      </c>
      <c r="L8" s="11">
        <v>1732</v>
      </c>
      <c r="M8" s="11"/>
      <c r="N8" s="11">
        <v>208</v>
      </c>
      <c r="O8" s="11">
        <v>200</v>
      </c>
      <c r="P8" s="11">
        <v>1002</v>
      </c>
      <c r="Q8" s="11">
        <v>1000</v>
      </c>
      <c r="R8" s="11">
        <v>1004</v>
      </c>
      <c r="S8" s="11">
        <v>1006</v>
      </c>
      <c r="T8" s="11">
        <v>1006</v>
      </c>
      <c r="U8" s="11">
        <v>1007</v>
      </c>
      <c r="V8" s="11">
        <v>405</v>
      </c>
      <c r="W8" s="11"/>
      <c r="X8" s="11">
        <v>2436</v>
      </c>
      <c r="Y8" s="11">
        <v>4402</v>
      </c>
    </row>
    <row r="9" spans="2:25" x14ac:dyDescent="0.35">
      <c r="B9" s="18" t="s">
        <v>276</v>
      </c>
      <c r="C9" s="17">
        <v>0.62558896906318096</v>
      </c>
      <c r="D9" s="17">
        <v>0.58941106071912497</v>
      </c>
      <c r="E9" s="17">
        <v>0.65935357032571795</v>
      </c>
      <c r="F9" s="17"/>
      <c r="G9" s="17">
        <v>0.457319681211526</v>
      </c>
      <c r="H9" s="17">
        <v>0.50953883313519999</v>
      </c>
      <c r="I9" s="17">
        <v>0.59800869822325198</v>
      </c>
      <c r="J9" s="17">
        <v>0.63347110582633503</v>
      </c>
      <c r="K9" s="17">
        <v>0.68403528579433903</v>
      </c>
      <c r="L9" s="17">
        <v>0.73074446357518597</v>
      </c>
      <c r="M9" s="17"/>
      <c r="N9" s="17">
        <v>0.60789411511117997</v>
      </c>
      <c r="O9" s="17">
        <v>0.66578027567845399</v>
      </c>
      <c r="P9" s="17">
        <v>0.55905185295170801</v>
      </c>
      <c r="Q9" s="17">
        <v>0.56149511862924095</v>
      </c>
      <c r="R9" s="17">
        <v>0.66005801371906403</v>
      </c>
      <c r="S9" s="17">
        <v>0.61455596064218398</v>
      </c>
      <c r="T9" s="17">
        <v>0.67917247537268999</v>
      </c>
      <c r="U9" s="17">
        <v>0.725925303151429</v>
      </c>
      <c r="V9" s="17">
        <v>0.49708254669128299</v>
      </c>
      <c r="W9" s="17"/>
      <c r="X9" s="17">
        <v>0.615813940116131</v>
      </c>
      <c r="Y9" s="17">
        <v>0.63099814287218803</v>
      </c>
    </row>
    <row r="10" spans="2:25" x14ac:dyDescent="0.35">
      <c r="B10" s="18" t="s">
        <v>277</v>
      </c>
      <c r="C10" s="17">
        <v>0.27403528363016999</v>
      </c>
      <c r="D10" s="17">
        <v>0.30332919415578602</v>
      </c>
      <c r="E10" s="17">
        <v>0.24667418850611</v>
      </c>
      <c r="F10" s="17"/>
      <c r="G10" s="17">
        <v>0.36848582849150002</v>
      </c>
      <c r="H10" s="17">
        <v>0.34616366203589999</v>
      </c>
      <c r="I10" s="17">
        <v>0.29582718394657898</v>
      </c>
      <c r="J10" s="17">
        <v>0.26593236123641401</v>
      </c>
      <c r="K10" s="17">
        <v>0.25238810029943698</v>
      </c>
      <c r="L10" s="17">
        <v>0.20199415036985499</v>
      </c>
      <c r="M10" s="17"/>
      <c r="N10" s="17">
        <v>0.33123009106958501</v>
      </c>
      <c r="O10" s="17">
        <v>0.29386254146958501</v>
      </c>
      <c r="P10" s="17">
        <v>0.34835596405619101</v>
      </c>
      <c r="Q10" s="17">
        <v>0.305346943115956</v>
      </c>
      <c r="R10" s="17">
        <v>0.26149916492829001</v>
      </c>
      <c r="S10" s="17">
        <v>0.26107564379245701</v>
      </c>
      <c r="T10" s="17">
        <v>0.26395052678660802</v>
      </c>
      <c r="U10" s="17">
        <v>0.17342872623950201</v>
      </c>
      <c r="V10" s="17">
        <v>0.31215078175982303</v>
      </c>
      <c r="W10" s="17"/>
      <c r="X10" s="17">
        <v>0.28983783290475501</v>
      </c>
      <c r="Y10" s="17">
        <v>0.26529068183771898</v>
      </c>
    </row>
    <row r="11" spans="2:25" ht="29" x14ac:dyDescent="0.35">
      <c r="B11" s="18" t="s">
        <v>298</v>
      </c>
      <c r="C11" s="17">
        <v>6.7796207877018705E-2</v>
      </c>
      <c r="D11" s="17">
        <v>7.5158275733741106E-2</v>
      </c>
      <c r="E11" s="17">
        <v>6.0812282200055003E-2</v>
      </c>
      <c r="F11" s="17"/>
      <c r="G11" s="17">
        <v>0.12496111057718499</v>
      </c>
      <c r="H11" s="17">
        <v>0.107618406579225</v>
      </c>
      <c r="I11" s="17">
        <v>7.4774529413030005E-2</v>
      </c>
      <c r="J11" s="17">
        <v>6.0927355475811601E-2</v>
      </c>
      <c r="K11" s="17">
        <v>3.9120157759272599E-2</v>
      </c>
      <c r="L11" s="17">
        <v>4.2041024663960501E-2</v>
      </c>
      <c r="M11" s="17"/>
      <c r="N11" s="17">
        <v>3.6179379837077502E-2</v>
      </c>
      <c r="O11" s="17">
        <v>7.9092271273447194E-3</v>
      </c>
      <c r="P11" s="17">
        <v>6.2741881039344805E-2</v>
      </c>
      <c r="Q11" s="17">
        <v>9.8663468899595694E-2</v>
      </c>
      <c r="R11" s="17">
        <v>5.1191458602235701E-2</v>
      </c>
      <c r="S11" s="17">
        <v>7.9830699541044603E-2</v>
      </c>
      <c r="T11" s="17">
        <v>3.97627347254653E-2</v>
      </c>
      <c r="U11" s="17">
        <v>6.8502112824144701E-2</v>
      </c>
      <c r="V11" s="17">
        <v>0.129046005945151</v>
      </c>
      <c r="W11" s="17"/>
      <c r="X11" s="17">
        <v>6.8380610461380401E-2</v>
      </c>
      <c r="Y11" s="17">
        <v>6.7472819049183105E-2</v>
      </c>
    </row>
    <row r="12" spans="2:25" x14ac:dyDescent="0.35">
      <c r="B12" s="18" t="s">
        <v>279</v>
      </c>
      <c r="C12" s="17">
        <v>1.2875295379255299E-2</v>
      </c>
      <c r="D12" s="17">
        <v>1.4694726576531401E-2</v>
      </c>
      <c r="E12" s="17">
        <v>1.12140011145332E-2</v>
      </c>
      <c r="F12" s="17"/>
      <c r="G12" s="17">
        <v>2.4312776100170901E-2</v>
      </c>
      <c r="H12" s="17">
        <v>2.5077590142956699E-2</v>
      </c>
      <c r="I12" s="17">
        <v>1.4509883655783099E-2</v>
      </c>
      <c r="J12" s="17">
        <v>9.97259606930994E-3</v>
      </c>
      <c r="K12" s="17">
        <v>5.23700449026656E-3</v>
      </c>
      <c r="L12" s="17">
        <v>7.35801568906835E-3</v>
      </c>
      <c r="M12" s="17"/>
      <c r="N12" s="17">
        <v>4.4419320092141199E-3</v>
      </c>
      <c r="O12" s="17">
        <v>3.5130108547229699E-3</v>
      </c>
      <c r="P12" s="17">
        <v>1.41367246998778E-2</v>
      </c>
      <c r="Q12" s="17">
        <v>1.7938753890705601E-2</v>
      </c>
      <c r="R12" s="17">
        <v>1.2608255237482499E-2</v>
      </c>
      <c r="S12" s="17">
        <v>1.23241890392396E-2</v>
      </c>
      <c r="T12" s="17">
        <v>4.8140950097718301E-3</v>
      </c>
      <c r="U12" s="17">
        <v>1.6761741128985E-2</v>
      </c>
      <c r="V12" s="17">
        <v>1.8597823224389302E-2</v>
      </c>
      <c r="W12" s="17"/>
      <c r="X12" s="17">
        <v>1.44289033735744E-2</v>
      </c>
      <c r="Y12" s="17">
        <v>1.20155807208275E-2</v>
      </c>
    </row>
    <row r="13" spans="2:25" x14ac:dyDescent="0.35">
      <c r="B13" s="18" t="s">
        <v>280</v>
      </c>
      <c r="C13" s="17">
        <v>3.4985197091721601E-3</v>
      </c>
      <c r="D13" s="17">
        <v>2.4637144079826699E-3</v>
      </c>
      <c r="E13" s="17">
        <v>4.4866850492112902E-3</v>
      </c>
      <c r="F13" s="17"/>
      <c r="G13" s="17">
        <v>9.7343403906643405E-3</v>
      </c>
      <c r="H13" s="17">
        <v>0</v>
      </c>
      <c r="I13" s="17">
        <v>2.3057323692238199E-3</v>
      </c>
      <c r="J13" s="17">
        <v>6.7448775328982002E-3</v>
      </c>
      <c r="K13" s="17">
        <v>5.8925933875780096E-4</v>
      </c>
      <c r="L13" s="17">
        <v>3.7106036485824098E-3</v>
      </c>
      <c r="M13" s="17"/>
      <c r="N13" s="17">
        <v>0</v>
      </c>
      <c r="O13" s="17">
        <v>5.9930620249658197E-3</v>
      </c>
      <c r="P13" s="17">
        <v>1.1108030059091001E-3</v>
      </c>
      <c r="Q13" s="17">
        <v>5.0436162305312997E-3</v>
      </c>
      <c r="R13" s="17">
        <v>4.9082015394709202E-3</v>
      </c>
      <c r="S13" s="17">
        <v>4.5551040948928799E-3</v>
      </c>
      <c r="T13" s="17">
        <v>1.8836958057828299E-3</v>
      </c>
      <c r="U13" s="17">
        <v>4.3319480681202598E-3</v>
      </c>
      <c r="V13" s="17">
        <v>1.97552042856347E-3</v>
      </c>
      <c r="W13" s="17"/>
      <c r="X13" s="17">
        <v>2.56032710183597E-3</v>
      </c>
      <c r="Y13" s="17">
        <v>4.0176840929194296E-3</v>
      </c>
    </row>
    <row r="14" spans="2:25" x14ac:dyDescent="0.35">
      <c r="B14" s="18" t="s">
        <v>224</v>
      </c>
      <c r="C14" s="17">
        <v>1.62057243412034E-2</v>
      </c>
      <c r="D14" s="17">
        <v>1.4943028406833401E-2</v>
      </c>
      <c r="E14" s="17">
        <v>1.7459272804372299E-2</v>
      </c>
      <c r="F14" s="17"/>
      <c r="G14" s="17">
        <v>1.51862632289537E-2</v>
      </c>
      <c r="H14" s="17">
        <v>1.1601508106717199E-2</v>
      </c>
      <c r="I14" s="17">
        <v>1.4573972392131899E-2</v>
      </c>
      <c r="J14" s="17">
        <v>2.2951703859231301E-2</v>
      </c>
      <c r="K14" s="17">
        <v>1.8630192317927102E-2</v>
      </c>
      <c r="L14" s="17">
        <v>1.4151742053348E-2</v>
      </c>
      <c r="M14" s="17"/>
      <c r="N14" s="17">
        <v>2.0254481972943598E-2</v>
      </c>
      <c r="O14" s="17">
        <v>2.29418828449276E-2</v>
      </c>
      <c r="P14" s="17">
        <v>1.4602774246969E-2</v>
      </c>
      <c r="Q14" s="17">
        <v>1.1512099233970599E-2</v>
      </c>
      <c r="R14" s="17">
        <v>9.7349059734569299E-3</v>
      </c>
      <c r="S14" s="17">
        <v>2.76584028901815E-2</v>
      </c>
      <c r="T14" s="17">
        <v>1.04164722996824E-2</v>
      </c>
      <c r="U14" s="17">
        <v>1.10501685878192E-2</v>
      </c>
      <c r="V14" s="17">
        <v>4.1147321950789899E-2</v>
      </c>
      <c r="W14" s="17"/>
      <c r="X14" s="17">
        <v>8.9783860423234205E-3</v>
      </c>
      <c r="Y14" s="17">
        <v>2.0205091427163101E-2</v>
      </c>
    </row>
    <row r="15" spans="2:25" x14ac:dyDescent="0.35">
      <c r="B15" s="18" t="s">
        <v>281</v>
      </c>
      <c r="C15" s="21">
        <v>0.89962425269335</v>
      </c>
      <c r="D15" s="21">
        <v>0.89274025487491104</v>
      </c>
      <c r="E15" s="21">
        <v>0.90602775883182796</v>
      </c>
      <c r="F15" s="21"/>
      <c r="G15" s="21">
        <v>0.82580550970302602</v>
      </c>
      <c r="H15" s="21">
        <v>0.85570249517110097</v>
      </c>
      <c r="I15" s="21">
        <v>0.89383588216983101</v>
      </c>
      <c r="J15" s="21">
        <v>0.89940346706274898</v>
      </c>
      <c r="K15" s="21">
        <v>0.93642338609377596</v>
      </c>
      <c r="L15" s="21">
        <v>0.93273861394504098</v>
      </c>
      <c r="M15" s="21"/>
      <c r="N15" s="21">
        <v>0.93912420618076498</v>
      </c>
      <c r="O15" s="21">
        <v>0.95964281714803901</v>
      </c>
      <c r="P15" s="21">
        <v>0.90740781700789896</v>
      </c>
      <c r="Q15" s="21">
        <v>0.86684206174519696</v>
      </c>
      <c r="R15" s="21">
        <v>0.92155717864735398</v>
      </c>
      <c r="S15" s="21">
        <v>0.87563160443464105</v>
      </c>
      <c r="T15" s="21">
        <v>0.94312300215929801</v>
      </c>
      <c r="U15" s="21">
        <v>0.89935402939093101</v>
      </c>
      <c r="V15" s="21">
        <v>0.80923332845110596</v>
      </c>
      <c r="W15" s="21"/>
      <c r="X15" s="21">
        <v>0.90565177302088595</v>
      </c>
      <c r="Y15" s="21">
        <v>0.89628882470990701</v>
      </c>
    </row>
    <row r="16" spans="2:25" x14ac:dyDescent="0.35">
      <c r="B16" s="18" t="s">
        <v>282</v>
      </c>
      <c r="C16" s="21">
        <v>1.6373815088427501E-2</v>
      </c>
      <c r="D16" s="21">
        <v>1.7158440984514099E-2</v>
      </c>
      <c r="E16" s="21">
        <v>1.5700686163744499E-2</v>
      </c>
      <c r="F16" s="21"/>
      <c r="G16" s="21">
        <v>3.4047116490835298E-2</v>
      </c>
      <c r="H16" s="21">
        <v>2.5077590142956699E-2</v>
      </c>
      <c r="I16" s="21">
        <v>1.6815616025006901E-2</v>
      </c>
      <c r="J16" s="21">
        <v>1.6717473602208099E-2</v>
      </c>
      <c r="K16" s="21">
        <v>5.8262638290243699E-3</v>
      </c>
      <c r="L16" s="21">
        <v>1.10686193376508E-2</v>
      </c>
      <c r="M16" s="21"/>
      <c r="N16" s="21">
        <v>4.4419320092141199E-3</v>
      </c>
      <c r="O16" s="21">
        <v>9.5060728796887792E-3</v>
      </c>
      <c r="P16" s="21">
        <v>1.52475277057869E-2</v>
      </c>
      <c r="Q16" s="21">
        <v>2.2982370121236901E-2</v>
      </c>
      <c r="R16" s="21">
        <v>1.7516456776953401E-2</v>
      </c>
      <c r="S16" s="21">
        <v>1.68792931341325E-2</v>
      </c>
      <c r="T16" s="21">
        <v>6.6977908155546701E-3</v>
      </c>
      <c r="U16" s="21">
        <v>2.1093689197105199E-2</v>
      </c>
      <c r="V16" s="21">
        <v>2.05733436529528E-2</v>
      </c>
      <c r="W16" s="21"/>
      <c r="X16" s="21">
        <v>1.6989230475410299E-2</v>
      </c>
      <c r="Y16" s="21">
        <v>1.6033264813746999E-2</v>
      </c>
    </row>
    <row r="17" spans="2:25" x14ac:dyDescent="0.35">
      <c r="B17" s="18" t="s">
        <v>92</v>
      </c>
      <c r="C17" s="22">
        <v>0.88325043760492306</v>
      </c>
      <c r="D17" s="22">
        <v>0.87558181389039702</v>
      </c>
      <c r="E17" s="22">
        <v>0.89032707266808397</v>
      </c>
      <c r="F17" s="22"/>
      <c r="G17" s="22">
        <v>0.79175839321219099</v>
      </c>
      <c r="H17" s="22">
        <v>0.83062490502814401</v>
      </c>
      <c r="I17" s="22">
        <v>0.87702026614482398</v>
      </c>
      <c r="J17" s="22">
        <v>0.882685993460541</v>
      </c>
      <c r="K17" s="22">
        <v>0.930597122264751</v>
      </c>
      <c r="L17" s="22">
        <v>0.92166999460738996</v>
      </c>
      <c r="M17" s="22"/>
      <c r="N17" s="22">
        <v>0.93468227417155003</v>
      </c>
      <c r="O17" s="22">
        <v>0.95013674426835004</v>
      </c>
      <c r="P17" s="22">
        <v>0.892160289302112</v>
      </c>
      <c r="Q17" s="22">
        <v>0.84385969162396002</v>
      </c>
      <c r="R17" s="22">
        <v>0.90404072187040097</v>
      </c>
      <c r="S17" s="22">
        <v>0.858752311300509</v>
      </c>
      <c r="T17" s="22">
        <v>0.93642521134374301</v>
      </c>
      <c r="U17" s="22">
        <v>0.87826034019382604</v>
      </c>
      <c r="V17" s="22">
        <v>0.78865998479815302</v>
      </c>
      <c r="W17" s="22"/>
      <c r="X17" s="22">
        <v>0.88866254254547505</v>
      </c>
      <c r="Y17" s="22">
        <v>0.88025555989616</v>
      </c>
    </row>
    <row r="18" spans="2:25" x14ac:dyDescent="0.35">
      <c r="B18" s="16"/>
    </row>
    <row r="19" spans="2:25" x14ac:dyDescent="0.35">
      <c r="B19" t="s">
        <v>51</v>
      </c>
    </row>
    <row r="20" spans="2:25" x14ac:dyDescent="0.35">
      <c r="B20" t="s">
        <v>52</v>
      </c>
    </row>
    <row r="22" spans="2:25" x14ac:dyDescent="0.35">
      <c r="B22" s="8" t="str">
        <f>HYPERLINK("#'Contents'!A1", "Return to Contents")</f>
        <v>Return to Contents</v>
      </c>
    </row>
  </sheetData>
  <mergeCells count="5">
    <mergeCell ref="D5:E5"/>
    <mergeCell ref="G5:L5"/>
    <mergeCell ref="N5:V5"/>
    <mergeCell ref="X5:Y5"/>
    <mergeCell ref="D2:W2"/>
  </mergeCells>
  <pageMargins left="0.7" right="0.7" top="0.75" bottom="0.75" header="0.3" footer="0.3"/>
  <pageSetup paperSize="9" orientation="portrait" horizontalDpi="300" verticalDpi="300"/>
  <drawing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dimension ref="B2:Y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s>
  <sheetData>
    <row r="2" spans="2:25" ht="40" customHeight="1" x14ac:dyDescent="0.35">
      <c r="D2" s="30" t="s">
        <v>304</v>
      </c>
      <c r="E2" s="26"/>
      <c r="F2" s="26"/>
      <c r="G2" s="26"/>
      <c r="H2" s="26"/>
      <c r="I2" s="26"/>
      <c r="J2" s="26"/>
      <c r="K2" s="26"/>
      <c r="L2" s="26"/>
      <c r="M2" s="26"/>
      <c r="N2" s="26"/>
      <c r="O2" s="26"/>
      <c r="P2" s="26"/>
      <c r="Q2" s="26"/>
      <c r="R2" s="26"/>
      <c r="S2" s="26"/>
      <c r="T2" s="26"/>
      <c r="U2" s="26"/>
      <c r="V2" s="26"/>
      <c r="W2" s="26"/>
    </row>
    <row r="5" spans="2:25" ht="30" customHeight="1" x14ac:dyDescent="0.35">
      <c r="B5" s="15"/>
      <c r="C5" s="15"/>
      <c r="D5" s="29" t="s">
        <v>38</v>
      </c>
      <c r="E5" s="29"/>
      <c r="F5" s="15"/>
      <c r="G5" s="29" t="s">
        <v>39</v>
      </c>
      <c r="H5" s="29"/>
      <c r="I5" s="29"/>
      <c r="J5" s="29"/>
      <c r="K5" s="29"/>
      <c r="L5" s="29"/>
      <c r="M5" s="15"/>
      <c r="N5" s="29" t="s">
        <v>40</v>
      </c>
      <c r="O5" s="29"/>
      <c r="P5" s="29"/>
      <c r="Q5" s="29"/>
      <c r="R5" s="29"/>
      <c r="S5" s="29"/>
      <c r="T5" s="29"/>
      <c r="U5" s="29"/>
      <c r="V5" s="29"/>
      <c r="W5" s="15"/>
      <c r="X5" s="29" t="s">
        <v>41</v>
      </c>
      <c r="Y5" s="29"/>
    </row>
    <row r="6" spans="2:25" ht="29"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row>
    <row r="7" spans="2:25" ht="30" customHeight="1" x14ac:dyDescent="0.35">
      <c r="B7" s="10" t="s">
        <v>19</v>
      </c>
      <c r="C7" s="10">
        <v>6838</v>
      </c>
      <c r="D7" s="10">
        <v>3283</v>
      </c>
      <c r="E7" s="10">
        <v>3541</v>
      </c>
      <c r="F7" s="10"/>
      <c r="G7" s="10">
        <v>635</v>
      </c>
      <c r="H7" s="10">
        <v>1075</v>
      </c>
      <c r="I7" s="10">
        <v>1093</v>
      </c>
      <c r="J7" s="10">
        <v>1228</v>
      </c>
      <c r="K7" s="10">
        <v>1156</v>
      </c>
      <c r="L7" s="10">
        <v>1651</v>
      </c>
      <c r="M7" s="10"/>
      <c r="N7" s="10">
        <v>208</v>
      </c>
      <c r="O7" s="10">
        <v>200</v>
      </c>
      <c r="P7" s="10">
        <v>1002</v>
      </c>
      <c r="Q7" s="10">
        <v>1000</v>
      </c>
      <c r="R7" s="10">
        <v>1004</v>
      </c>
      <c r="S7" s="10">
        <v>1006</v>
      </c>
      <c r="T7" s="10">
        <v>1006</v>
      </c>
      <c r="U7" s="10">
        <v>1007</v>
      </c>
      <c r="V7" s="10">
        <v>405</v>
      </c>
      <c r="W7" s="10"/>
      <c r="X7" s="10">
        <v>2650</v>
      </c>
      <c r="Y7" s="10">
        <v>4188</v>
      </c>
    </row>
    <row r="8" spans="2:25" ht="30" customHeight="1" x14ac:dyDescent="0.35">
      <c r="B8" s="11" t="s">
        <v>20</v>
      </c>
      <c r="C8" s="11">
        <v>6838</v>
      </c>
      <c r="D8" s="11">
        <v>3309</v>
      </c>
      <c r="E8" s="11">
        <v>3515</v>
      </c>
      <c r="F8" s="11"/>
      <c r="G8" s="11">
        <v>645</v>
      </c>
      <c r="H8" s="11">
        <v>1026</v>
      </c>
      <c r="I8" s="11">
        <v>1111</v>
      </c>
      <c r="J8" s="11">
        <v>1184</v>
      </c>
      <c r="K8" s="11">
        <v>1140</v>
      </c>
      <c r="L8" s="11">
        <v>1732</v>
      </c>
      <c r="M8" s="11"/>
      <c r="N8" s="11">
        <v>208</v>
      </c>
      <c r="O8" s="11">
        <v>200</v>
      </c>
      <c r="P8" s="11">
        <v>1002</v>
      </c>
      <c r="Q8" s="11">
        <v>1000</v>
      </c>
      <c r="R8" s="11">
        <v>1004</v>
      </c>
      <c r="S8" s="11">
        <v>1006</v>
      </c>
      <c r="T8" s="11">
        <v>1006</v>
      </c>
      <c r="U8" s="11">
        <v>1007</v>
      </c>
      <c r="V8" s="11">
        <v>405</v>
      </c>
      <c r="W8" s="11"/>
      <c r="X8" s="11">
        <v>2436</v>
      </c>
      <c r="Y8" s="11">
        <v>4402</v>
      </c>
    </row>
    <row r="9" spans="2:25" x14ac:dyDescent="0.35">
      <c r="B9" s="18" t="s">
        <v>276</v>
      </c>
      <c r="C9" s="17">
        <v>0.20605461219367899</v>
      </c>
      <c r="D9" s="17">
        <v>0.18669796965511701</v>
      </c>
      <c r="E9" s="17">
        <v>0.22375431195190201</v>
      </c>
      <c r="F9" s="17"/>
      <c r="G9" s="17">
        <v>0.17894607453761999</v>
      </c>
      <c r="H9" s="17">
        <v>0.18630123089086401</v>
      </c>
      <c r="I9" s="17">
        <v>0.20976662321627201</v>
      </c>
      <c r="J9" s="17">
        <v>0.20593970074844201</v>
      </c>
      <c r="K9" s="17">
        <v>0.21834471802285499</v>
      </c>
      <c r="L9" s="17">
        <v>0.217444530264957</v>
      </c>
      <c r="M9" s="17"/>
      <c r="N9" s="17">
        <v>0.14038145680780401</v>
      </c>
      <c r="O9" s="17">
        <v>0.18176898506556999</v>
      </c>
      <c r="P9" s="17">
        <v>0.21479461281845999</v>
      </c>
      <c r="Q9" s="17">
        <v>0.14658356390567201</v>
      </c>
      <c r="R9" s="17">
        <v>0.21732256771146499</v>
      </c>
      <c r="S9" s="17">
        <v>0.17278911828438401</v>
      </c>
      <c r="T9" s="17">
        <v>0.18355469078597</v>
      </c>
      <c r="U9" s="17">
        <v>0.34503582681397099</v>
      </c>
      <c r="V9" s="17">
        <v>0.142014135043742</v>
      </c>
      <c r="W9" s="17"/>
      <c r="X9" s="17">
        <v>0.226562343250266</v>
      </c>
      <c r="Y9" s="17">
        <v>0.19470632030479201</v>
      </c>
    </row>
    <row r="10" spans="2:25" x14ac:dyDescent="0.35">
      <c r="B10" s="18" t="s">
        <v>277</v>
      </c>
      <c r="C10" s="17">
        <v>0.31790262092725302</v>
      </c>
      <c r="D10" s="17">
        <v>0.30527497992215302</v>
      </c>
      <c r="E10" s="17">
        <v>0.33024894182598102</v>
      </c>
      <c r="F10" s="17"/>
      <c r="G10" s="17">
        <v>0.31000886426185498</v>
      </c>
      <c r="H10" s="17">
        <v>0.336647721944278</v>
      </c>
      <c r="I10" s="17">
        <v>0.33616032811938701</v>
      </c>
      <c r="J10" s="17">
        <v>0.31228538051487198</v>
      </c>
      <c r="K10" s="17">
        <v>0.296714167073102</v>
      </c>
      <c r="L10" s="17">
        <v>0.31581716967346701</v>
      </c>
      <c r="M10" s="17"/>
      <c r="N10" s="17">
        <v>0.27803930967666501</v>
      </c>
      <c r="O10" s="17">
        <v>0.27258335806575501</v>
      </c>
      <c r="P10" s="17">
        <v>0.37375221208057002</v>
      </c>
      <c r="Q10" s="17">
        <v>0.3248170202506</v>
      </c>
      <c r="R10" s="17">
        <v>0.310861867948725</v>
      </c>
      <c r="S10" s="17">
        <v>0.27730258428986898</v>
      </c>
      <c r="T10" s="17">
        <v>0.336020975006391</v>
      </c>
      <c r="U10" s="17">
        <v>0.322547224988528</v>
      </c>
      <c r="V10" s="17">
        <v>0.267255964156356</v>
      </c>
      <c r="W10" s="17"/>
      <c r="X10" s="17">
        <v>0.34445904924285398</v>
      </c>
      <c r="Y10" s="17">
        <v>0.30320718244992101</v>
      </c>
    </row>
    <row r="11" spans="2:25" ht="29" x14ac:dyDescent="0.35">
      <c r="B11" s="18" t="s">
        <v>298</v>
      </c>
      <c r="C11" s="17">
        <v>0.255746340424503</v>
      </c>
      <c r="D11" s="17">
        <v>0.27164510516262802</v>
      </c>
      <c r="E11" s="17">
        <v>0.24113975226396001</v>
      </c>
      <c r="F11" s="17"/>
      <c r="G11" s="17">
        <v>0.31359415221300702</v>
      </c>
      <c r="H11" s="17">
        <v>0.259847504282472</v>
      </c>
      <c r="I11" s="17">
        <v>0.252484815064693</v>
      </c>
      <c r="J11" s="17">
        <v>0.24421164815573701</v>
      </c>
      <c r="K11" s="17">
        <v>0.26007229044411301</v>
      </c>
      <c r="L11" s="17">
        <v>0.23891754872544699</v>
      </c>
      <c r="M11" s="17"/>
      <c r="N11" s="17">
        <v>0.29749954150383101</v>
      </c>
      <c r="O11" s="17">
        <v>0.26047033884752402</v>
      </c>
      <c r="P11" s="17">
        <v>0.24867292366369101</v>
      </c>
      <c r="Q11" s="17">
        <v>0.28663260403282298</v>
      </c>
      <c r="R11" s="17">
        <v>0.24519195125417201</v>
      </c>
      <c r="S11" s="17">
        <v>0.27754976922890601</v>
      </c>
      <c r="T11" s="17">
        <v>0.24523484994596501</v>
      </c>
      <c r="U11" s="17">
        <v>0.214514474419051</v>
      </c>
      <c r="V11" s="17">
        <v>0.27384323009262501</v>
      </c>
      <c r="W11" s="17"/>
      <c r="X11" s="17">
        <v>0.232516061185921</v>
      </c>
      <c r="Y11" s="17">
        <v>0.26860119934245802</v>
      </c>
    </row>
    <row r="12" spans="2:25" x14ac:dyDescent="0.35">
      <c r="B12" s="18" t="s">
        <v>279</v>
      </c>
      <c r="C12" s="17">
        <v>7.8099484908208797E-2</v>
      </c>
      <c r="D12" s="17">
        <v>9.5615034247365394E-2</v>
      </c>
      <c r="E12" s="17">
        <v>6.1298850741112097E-2</v>
      </c>
      <c r="F12" s="17"/>
      <c r="G12" s="17">
        <v>0.108353629690189</v>
      </c>
      <c r="H12" s="17">
        <v>0.104350859730457</v>
      </c>
      <c r="I12" s="17">
        <v>7.2742628430288794E-2</v>
      </c>
      <c r="J12" s="17">
        <v>8.4726416162714702E-2</v>
      </c>
      <c r="K12" s="17">
        <v>5.8768987243907701E-2</v>
      </c>
      <c r="L12" s="17">
        <v>6.2931455837994699E-2</v>
      </c>
      <c r="M12" s="17"/>
      <c r="N12" s="17">
        <v>0.118780096912653</v>
      </c>
      <c r="O12" s="17">
        <v>0.11646562714751001</v>
      </c>
      <c r="P12" s="17">
        <v>7.4407556724614493E-2</v>
      </c>
      <c r="Q12" s="17">
        <v>0.105398002482349</v>
      </c>
      <c r="R12" s="17">
        <v>5.0980942304318301E-2</v>
      </c>
      <c r="S12" s="17">
        <v>9.05134103861817E-2</v>
      </c>
      <c r="T12" s="17">
        <v>6.7669456140742504E-2</v>
      </c>
      <c r="U12" s="17">
        <v>5.0563102329283398E-2</v>
      </c>
      <c r="V12" s="17">
        <v>0.110757145800929</v>
      </c>
      <c r="W12" s="17"/>
      <c r="X12" s="17">
        <v>8.5295799453058305E-2</v>
      </c>
      <c r="Y12" s="17">
        <v>7.4117285329237406E-2</v>
      </c>
    </row>
    <row r="13" spans="2:25" x14ac:dyDescent="0.35">
      <c r="B13" s="18" t="s">
        <v>280</v>
      </c>
      <c r="C13" s="17">
        <v>6.5742962274951397E-2</v>
      </c>
      <c r="D13" s="17">
        <v>8.8940386305342498E-2</v>
      </c>
      <c r="E13" s="17">
        <v>4.4167958103800802E-2</v>
      </c>
      <c r="F13" s="17"/>
      <c r="G13" s="17">
        <v>5.0187161151027802E-2</v>
      </c>
      <c r="H13" s="17">
        <v>8.0460374928698605E-2</v>
      </c>
      <c r="I13" s="17">
        <v>6.1622280306227399E-2</v>
      </c>
      <c r="J13" s="17">
        <v>7.5762983436882606E-2</v>
      </c>
      <c r="K13" s="17">
        <v>6.8130337467220206E-2</v>
      </c>
      <c r="L13" s="17">
        <v>5.7044150011515402E-2</v>
      </c>
      <c r="M13" s="17"/>
      <c r="N13" s="17">
        <v>8.6389714274281701E-2</v>
      </c>
      <c r="O13" s="17">
        <v>0.120026247590724</v>
      </c>
      <c r="P13" s="17">
        <v>5.5391762541999102E-2</v>
      </c>
      <c r="Q13" s="17">
        <v>9.7456933551534494E-2</v>
      </c>
      <c r="R13" s="17">
        <v>3.9456506961348697E-2</v>
      </c>
      <c r="S13" s="17">
        <v>7.9762740264683704E-2</v>
      </c>
      <c r="T13" s="17">
        <v>5.7674921244774899E-2</v>
      </c>
      <c r="U13" s="17">
        <v>3.54258072021632E-2</v>
      </c>
      <c r="V13" s="17">
        <v>0.101397970395103</v>
      </c>
      <c r="W13" s="17"/>
      <c r="X13" s="17">
        <v>7.3743311357627794E-2</v>
      </c>
      <c r="Y13" s="17">
        <v>6.1315836897078597E-2</v>
      </c>
    </row>
    <row r="14" spans="2:25" x14ac:dyDescent="0.35">
      <c r="B14" s="18" t="s">
        <v>224</v>
      </c>
      <c r="C14" s="17">
        <v>7.6453979271404807E-2</v>
      </c>
      <c r="D14" s="17">
        <v>5.18265247073941E-2</v>
      </c>
      <c r="E14" s="17">
        <v>9.9390185113243906E-2</v>
      </c>
      <c r="F14" s="17"/>
      <c r="G14" s="17">
        <v>3.89101181463005E-2</v>
      </c>
      <c r="H14" s="17">
        <v>3.2392308223230103E-2</v>
      </c>
      <c r="I14" s="17">
        <v>6.72233248631319E-2</v>
      </c>
      <c r="J14" s="17">
        <v>7.7073870981352294E-2</v>
      </c>
      <c r="K14" s="17">
        <v>9.7969499748802397E-2</v>
      </c>
      <c r="L14" s="17">
        <v>0.107845145486618</v>
      </c>
      <c r="M14" s="17"/>
      <c r="N14" s="17">
        <v>7.8909880824765397E-2</v>
      </c>
      <c r="O14" s="17">
        <v>4.8685443282917101E-2</v>
      </c>
      <c r="P14" s="17">
        <v>3.2980932170665798E-2</v>
      </c>
      <c r="Q14" s="17">
        <v>3.9111875777021902E-2</v>
      </c>
      <c r="R14" s="17">
        <v>0.13618616381997101</v>
      </c>
      <c r="S14" s="17">
        <v>0.102082377545976</v>
      </c>
      <c r="T14" s="17">
        <v>0.10984510687615601</v>
      </c>
      <c r="U14" s="17">
        <v>3.1913564247003201E-2</v>
      </c>
      <c r="V14" s="17">
        <v>0.10473155451124599</v>
      </c>
      <c r="W14" s="17"/>
      <c r="X14" s="17">
        <v>3.7423435510273599E-2</v>
      </c>
      <c r="Y14" s="17">
        <v>9.8052175676513698E-2</v>
      </c>
    </row>
    <row r="15" spans="2:25" x14ac:dyDescent="0.35">
      <c r="B15" s="18" t="s">
        <v>281</v>
      </c>
      <c r="C15" s="21">
        <v>0.52395723312093201</v>
      </c>
      <c r="D15" s="21">
        <v>0.49197294957727</v>
      </c>
      <c r="E15" s="21">
        <v>0.55400325377788295</v>
      </c>
      <c r="F15" s="21"/>
      <c r="G15" s="21">
        <v>0.48895493879947499</v>
      </c>
      <c r="H15" s="21">
        <v>0.52294895283514298</v>
      </c>
      <c r="I15" s="21">
        <v>0.54592695133565905</v>
      </c>
      <c r="J15" s="21">
        <v>0.51822508126331401</v>
      </c>
      <c r="K15" s="21">
        <v>0.51505888509595699</v>
      </c>
      <c r="L15" s="21">
        <v>0.53326169993842398</v>
      </c>
      <c r="M15" s="21"/>
      <c r="N15" s="21">
        <v>0.41842076648447002</v>
      </c>
      <c r="O15" s="21">
        <v>0.454352343131325</v>
      </c>
      <c r="P15" s="21">
        <v>0.58854682489902999</v>
      </c>
      <c r="Q15" s="21">
        <v>0.47140058415627201</v>
      </c>
      <c r="R15" s="21">
        <v>0.52818443566019002</v>
      </c>
      <c r="S15" s="21">
        <v>0.45009170257425302</v>
      </c>
      <c r="T15" s="21">
        <v>0.51957566579236103</v>
      </c>
      <c r="U15" s="21">
        <v>0.66758305180249899</v>
      </c>
      <c r="V15" s="21">
        <v>0.40927009920009799</v>
      </c>
      <c r="W15" s="21"/>
      <c r="X15" s="21">
        <v>0.57102139249311901</v>
      </c>
      <c r="Y15" s="21">
        <v>0.49791350275471302</v>
      </c>
    </row>
    <row r="16" spans="2:25" x14ac:dyDescent="0.35">
      <c r="B16" s="18" t="s">
        <v>282</v>
      </c>
      <c r="C16" s="21">
        <v>0.14384244718316</v>
      </c>
      <c r="D16" s="21">
        <v>0.18455542055270799</v>
      </c>
      <c r="E16" s="21">
        <v>0.105466808844913</v>
      </c>
      <c r="F16" s="21"/>
      <c r="G16" s="21">
        <v>0.158540790841217</v>
      </c>
      <c r="H16" s="21">
        <v>0.184811234659155</v>
      </c>
      <c r="I16" s="21">
        <v>0.13436490873651599</v>
      </c>
      <c r="J16" s="21">
        <v>0.16048939959959699</v>
      </c>
      <c r="K16" s="21">
        <v>0.126899324711128</v>
      </c>
      <c r="L16" s="21">
        <v>0.11997560584951</v>
      </c>
      <c r="M16" s="21"/>
      <c r="N16" s="21">
        <v>0.205169811186935</v>
      </c>
      <c r="O16" s="21">
        <v>0.23649187473823399</v>
      </c>
      <c r="P16" s="21">
        <v>0.129799319266614</v>
      </c>
      <c r="Q16" s="21">
        <v>0.20285493603388299</v>
      </c>
      <c r="R16" s="21">
        <v>9.0437449265667005E-2</v>
      </c>
      <c r="S16" s="21">
        <v>0.17027615065086499</v>
      </c>
      <c r="T16" s="21">
        <v>0.12534437738551699</v>
      </c>
      <c r="U16" s="21">
        <v>8.5988909531446597E-2</v>
      </c>
      <c r="V16" s="21">
        <v>0.212155116196032</v>
      </c>
      <c r="W16" s="21"/>
      <c r="X16" s="21">
        <v>0.159039110810686</v>
      </c>
      <c r="Y16" s="21">
        <v>0.13543312222631601</v>
      </c>
    </row>
    <row r="17" spans="2:25" x14ac:dyDescent="0.35">
      <c r="B17" s="18" t="s">
        <v>92</v>
      </c>
      <c r="C17" s="22">
        <v>0.38011478593777198</v>
      </c>
      <c r="D17" s="22">
        <v>0.30741752902456199</v>
      </c>
      <c r="E17" s="22">
        <v>0.44853644493297001</v>
      </c>
      <c r="F17" s="22"/>
      <c r="G17" s="22">
        <v>0.33041414795825802</v>
      </c>
      <c r="H17" s="22">
        <v>0.33813771817598798</v>
      </c>
      <c r="I17" s="22">
        <v>0.41156204259914297</v>
      </c>
      <c r="J17" s="22">
        <v>0.357735681663716</v>
      </c>
      <c r="K17" s="22">
        <v>0.38815956038482902</v>
      </c>
      <c r="L17" s="22">
        <v>0.41328609408891398</v>
      </c>
      <c r="M17" s="22"/>
      <c r="N17" s="22">
        <v>0.21325095529753499</v>
      </c>
      <c r="O17" s="22">
        <v>0.21786046839309101</v>
      </c>
      <c r="P17" s="22">
        <v>0.45874750563241601</v>
      </c>
      <c r="Q17" s="22">
        <v>0.26854564812238901</v>
      </c>
      <c r="R17" s="22">
        <v>0.43774698639452297</v>
      </c>
      <c r="S17" s="22">
        <v>0.27981555192338697</v>
      </c>
      <c r="T17" s="22">
        <v>0.39423128840684402</v>
      </c>
      <c r="U17" s="22">
        <v>0.58159414227105199</v>
      </c>
      <c r="V17" s="22">
        <v>0.19711498300406599</v>
      </c>
      <c r="W17" s="22"/>
      <c r="X17" s="22">
        <v>0.411982281682433</v>
      </c>
      <c r="Y17" s="22">
        <v>0.36248038052839698</v>
      </c>
    </row>
    <row r="18" spans="2:25" x14ac:dyDescent="0.35">
      <c r="B18" s="16"/>
    </row>
    <row r="19" spans="2:25" x14ac:dyDescent="0.35">
      <c r="B19" t="s">
        <v>51</v>
      </c>
    </row>
    <row r="20" spans="2:25" x14ac:dyDescent="0.35">
      <c r="B20" t="s">
        <v>52</v>
      </c>
    </row>
    <row r="22" spans="2:25" x14ac:dyDescent="0.35">
      <c r="B22" s="8" t="str">
        <f>HYPERLINK("#'Contents'!A1", "Return to Contents")</f>
        <v>Return to Contents</v>
      </c>
    </row>
  </sheetData>
  <mergeCells count="5">
    <mergeCell ref="D5:E5"/>
    <mergeCell ref="G5:L5"/>
    <mergeCell ref="N5:V5"/>
    <mergeCell ref="X5:Y5"/>
    <mergeCell ref="D2:W2"/>
  </mergeCells>
  <pageMargins left="0.7" right="0.7" top="0.75" bottom="0.75" header="0.3" footer="0.3"/>
  <pageSetup paperSize="9" orientation="portrait" horizontalDpi="300" verticalDpi="300"/>
  <drawing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dimension ref="B2:Y19"/>
  <sheetViews>
    <sheetView showGridLines="0" topLeftCell="A7" workbookViewId="0">
      <pane xSplit="2" topLeftCell="C1" activePane="topRight" state="frozen"/>
      <selection pane="topRight" activeCell="B15" sqref="B15"/>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s>
  <sheetData>
    <row r="2" spans="2:25" ht="40" customHeight="1" x14ac:dyDescent="0.35">
      <c r="D2" s="30" t="s">
        <v>311</v>
      </c>
      <c r="E2" s="26"/>
      <c r="F2" s="26"/>
      <c r="G2" s="26"/>
      <c r="H2" s="26"/>
      <c r="I2" s="26"/>
      <c r="J2" s="26"/>
      <c r="K2" s="26"/>
      <c r="L2" s="26"/>
      <c r="M2" s="26"/>
      <c r="N2" s="26"/>
      <c r="O2" s="26"/>
      <c r="P2" s="26"/>
      <c r="Q2" s="26"/>
      <c r="R2" s="26"/>
      <c r="S2" s="26"/>
      <c r="T2" s="26"/>
      <c r="U2" s="26"/>
      <c r="V2" s="26"/>
      <c r="W2" s="26"/>
    </row>
    <row r="5" spans="2:25" ht="30" customHeight="1" x14ac:dyDescent="0.35">
      <c r="B5" s="15"/>
      <c r="C5" s="15"/>
      <c r="D5" s="29" t="s">
        <v>38</v>
      </c>
      <c r="E5" s="29"/>
      <c r="F5" s="15"/>
      <c r="G5" s="29" t="s">
        <v>39</v>
      </c>
      <c r="H5" s="29"/>
      <c r="I5" s="29"/>
      <c r="J5" s="29"/>
      <c r="K5" s="29"/>
      <c r="L5" s="29"/>
      <c r="M5" s="15"/>
      <c r="N5" s="29" t="s">
        <v>40</v>
      </c>
      <c r="O5" s="29"/>
      <c r="P5" s="29"/>
      <c r="Q5" s="29"/>
      <c r="R5" s="29"/>
      <c r="S5" s="29"/>
      <c r="T5" s="29"/>
      <c r="U5" s="29"/>
      <c r="V5" s="29"/>
      <c r="W5" s="15"/>
      <c r="X5" s="29" t="s">
        <v>41</v>
      </c>
      <c r="Y5" s="29"/>
    </row>
    <row r="6" spans="2:25" ht="29"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row>
    <row r="7" spans="2:25" ht="30" customHeight="1" x14ac:dyDescent="0.35">
      <c r="B7" s="10" t="s">
        <v>19</v>
      </c>
      <c r="C7" s="10">
        <v>3716</v>
      </c>
      <c r="D7" s="10">
        <v>1971</v>
      </c>
      <c r="E7" s="10">
        <v>1736</v>
      </c>
      <c r="F7" s="10"/>
      <c r="G7" s="10">
        <v>251</v>
      </c>
      <c r="H7" s="10">
        <v>847</v>
      </c>
      <c r="I7" s="10">
        <v>873</v>
      </c>
      <c r="J7" s="10">
        <v>919</v>
      </c>
      <c r="K7" s="10">
        <v>652</v>
      </c>
      <c r="L7" s="10">
        <v>174</v>
      </c>
      <c r="M7" s="10"/>
      <c r="N7" s="10">
        <v>101</v>
      </c>
      <c r="O7" s="10">
        <v>101</v>
      </c>
      <c r="P7" s="10">
        <v>508</v>
      </c>
      <c r="Q7" s="10">
        <v>536</v>
      </c>
      <c r="R7" s="10">
        <v>488</v>
      </c>
      <c r="S7" s="10">
        <v>546</v>
      </c>
      <c r="T7" s="10">
        <v>648</v>
      </c>
      <c r="U7" s="10">
        <v>573</v>
      </c>
      <c r="V7" s="10">
        <v>215</v>
      </c>
      <c r="W7" s="10"/>
      <c r="X7" s="10">
        <v>1783</v>
      </c>
      <c r="Y7" s="10">
        <v>1933</v>
      </c>
    </row>
    <row r="8" spans="2:25" ht="30" customHeight="1" x14ac:dyDescent="0.35">
      <c r="B8" s="11" t="s">
        <v>20</v>
      </c>
      <c r="C8" s="11">
        <v>3642</v>
      </c>
      <c r="D8" s="11">
        <v>1990</v>
      </c>
      <c r="E8" s="11">
        <v>1643</v>
      </c>
      <c r="F8" s="11"/>
      <c r="G8" s="11">
        <v>263</v>
      </c>
      <c r="H8" s="11">
        <v>804</v>
      </c>
      <c r="I8" s="11">
        <v>885</v>
      </c>
      <c r="J8" s="11">
        <v>875</v>
      </c>
      <c r="K8" s="11">
        <v>630</v>
      </c>
      <c r="L8" s="11">
        <v>185</v>
      </c>
      <c r="M8" s="11"/>
      <c r="N8" s="11">
        <v>106</v>
      </c>
      <c r="O8" s="11">
        <v>95</v>
      </c>
      <c r="P8" s="11">
        <v>509</v>
      </c>
      <c r="Q8" s="11">
        <v>549</v>
      </c>
      <c r="R8" s="11">
        <v>458</v>
      </c>
      <c r="S8" s="11">
        <v>556</v>
      </c>
      <c r="T8" s="11">
        <v>615</v>
      </c>
      <c r="U8" s="11">
        <v>531</v>
      </c>
      <c r="V8" s="11">
        <v>224</v>
      </c>
      <c r="W8" s="11"/>
      <c r="X8" s="11">
        <v>1638</v>
      </c>
      <c r="Y8" s="11">
        <v>2004</v>
      </c>
    </row>
    <row r="9" spans="2:25" x14ac:dyDescent="0.35">
      <c r="B9" s="18" t="s">
        <v>305</v>
      </c>
      <c r="C9" s="17">
        <v>0.47567427961680397</v>
      </c>
      <c r="D9" s="17">
        <v>0.466782709605154</v>
      </c>
      <c r="E9" s="17">
        <v>0.48786112665192799</v>
      </c>
      <c r="F9" s="17"/>
      <c r="G9" s="17">
        <v>0.360066687536374</v>
      </c>
      <c r="H9" s="17">
        <v>0.46998594658867598</v>
      </c>
      <c r="I9" s="17">
        <v>0.46823125684210298</v>
      </c>
      <c r="J9" s="17">
        <v>0.48505969065667298</v>
      </c>
      <c r="K9" s="17">
        <v>0.49760490695209397</v>
      </c>
      <c r="L9" s="17">
        <v>0.58150738118925704</v>
      </c>
      <c r="M9" s="17"/>
      <c r="N9" s="17">
        <v>0.40803836992238501</v>
      </c>
      <c r="O9" s="17">
        <v>0.28619513244383699</v>
      </c>
      <c r="P9" s="17">
        <v>0.44241289649062998</v>
      </c>
      <c r="Q9" s="17">
        <v>0.53569370902142899</v>
      </c>
      <c r="R9" s="17">
        <v>0.51104793214898503</v>
      </c>
      <c r="S9" s="17">
        <v>0.47003137618094398</v>
      </c>
      <c r="T9" s="17">
        <v>0.488414249379094</v>
      </c>
      <c r="U9" s="17">
        <v>0.48186867990587101</v>
      </c>
      <c r="V9" s="17">
        <v>0.40811511881979301</v>
      </c>
      <c r="W9" s="17"/>
      <c r="X9" s="17">
        <v>0.61609184402168105</v>
      </c>
      <c r="Y9" s="17">
        <v>0.36086775250013498</v>
      </c>
    </row>
    <row r="10" spans="2:25" ht="29" x14ac:dyDescent="0.35">
      <c r="B10" s="18" t="s">
        <v>306</v>
      </c>
      <c r="C10" s="17">
        <v>0.12394894732541401</v>
      </c>
      <c r="D10" s="17">
        <v>0.17890485754859001</v>
      </c>
      <c r="E10" s="17">
        <v>5.6805931666954301E-2</v>
      </c>
      <c r="F10" s="17"/>
      <c r="G10" s="17">
        <v>0.109596712630675</v>
      </c>
      <c r="H10" s="17">
        <v>0.12569205349172599</v>
      </c>
      <c r="I10" s="17">
        <v>0.15355483061533701</v>
      </c>
      <c r="J10" s="17">
        <v>0.13197420047400801</v>
      </c>
      <c r="K10" s="17">
        <v>9.6915298183217494E-2</v>
      </c>
      <c r="L10" s="17">
        <v>4.9167852706732303E-2</v>
      </c>
      <c r="M10" s="17"/>
      <c r="N10" s="17">
        <v>0.10969789346229</v>
      </c>
      <c r="O10" s="17">
        <v>8.2641534459727606E-2</v>
      </c>
      <c r="P10" s="17">
        <v>0.113792821474773</v>
      </c>
      <c r="Q10" s="17">
        <v>9.0507414201976402E-2</v>
      </c>
      <c r="R10" s="17">
        <v>0.123532415710257</v>
      </c>
      <c r="S10" s="17">
        <v>0.107656734223451</v>
      </c>
      <c r="T10" s="17">
        <v>0.19674964024422001</v>
      </c>
      <c r="U10" s="17">
        <v>0.12367404570757699</v>
      </c>
      <c r="V10" s="17">
        <v>9.5255288307701899E-2</v>
      </c>
      <c r="W10" s="17"/>
      <c r="X10" s="17">
        <v>5.7927083393298197E-2</v>
      </c>
      <c r="Y10" s="17">
        <v>0.177928952917594</v>
      </c>
    </row>
    <row r="11" spans="2:25" ht="29" x14ac:dyDescent="0.35">
      <c r="B11" s="18" t="s">
        <v>307</v>
      </c>
      <c r="C11" s="17">
        <v>8.8795622341477601E-2</v>
      </c>
      <c r="D11" s="17">
        <v>6.4459444256371998E-2</v>
      </c>
      <c r="E11" s="17">
        <v>0.117534992530491</v>
      </c>
      <c r="F11" s="17"/>
      <c r="G11" s="17">
        <v>0.18765020832953699</v>
      </c>
      <c r="H11" s="17">
        <v>9.6163189879923505E-2</v>
      </c>
      <c r="I11" s="17">
        <v>8.3003125072378697E-2</v>
      </c>
      <c r="J11" s="17">
        <v>7.7359453039510598E-2</v>
      </c>
      <c r="K11" s="17">
        <v>7.5630757514952393E-2</v>
      </c>
      <c r="L11" s="17">
        <v>4.27472038084711E-2</v>
      </c>
      <c r="M11" s="17"/>
      <c r="N11" s="17">
        <v>9.7285836409696999E-2</v>
      </c>
      <c r="O11" s="17">
        <v>0.119398121298044</v>
      </c>
      <c r="P11" s="17">
        <v>0.105988594732944</v>
      </c>
      <c r="Q11" s="17">
        <v>6.9312751542677395E-2</v>
      </c>
      <c r="R11" s="17">
        <v>9.8111443542750199E-2</v>
      </c>
      <c r="S11" s="17">
        <v>8.74855139263266E-2</v>
      </c>
      <c r="T11" s="17">
        <v>6.8135253102526702E-2</v>
      </c>
      <c r="U11" s="17">
        <v>0.108894148361461</v>
      </c>
      <c r="V11" s="17">
        <v>7.3848411856076795E-2</v>
      </c>
      <c r="W11" s="17"/>
      <c r="X11" s="17">
        <v>5.1955200431702299E-2</v>
      </c>
      <c r="Y11" s="17">
        <v>0.118916646836525</v>
      </c>
    </row>
    <row r="12" spans="2:25" ht="29" x14ac:dyDescent="0.35">
      <c r="B12" s="18" t="s">
        <v>308</v>
      </c>
      <c r="C12" s="17">
        <v>0.12489231244456001</v>
      </c>
      <c r="D12" s="17">
        <v>8.6518320771118901E-2</v>
      </c>
      <c r="E12" s="17">
        <v>0.171494130246335</v>
      </c>
      <c r="F12" s="17"/>
      <c r="G12" s="17">
        <v>0.179620620141662</v>
      </c>
      <c r="H12" s="17">
        <v>0.13469821596819201</v>
      </c>
      <c r="I12" s="17">
        <v>0.107831204390888</v>
      </c>
      <c r="J12" s="17">
        <v>0.117278033533641</v>
      </c>
      <c r="K12" s="17">
        <v>0.12745836603560501</v>
      </c>
      <c r="L12" s="17">
        <v>0.113311436625259</v>
      </c>
      <c r="M12" s="17"/>
      <c r="N12" s="17">
        <v>0.20222344001460499</v>
      </c>
      <c r="O12" s="17">
        <v>0.291025619438879</v>
      </c>
      <c r="P12" s="17">
        <v>0.140846083812285</v>
      </c>
      <c r="Q12" s="17">
        <v>0.13011898882943901</v>
      </c>
      <c r="R12" s="17">
        <v>0.104738098612758</v>
      </c>
      <c r="S12" s="17">
        <v>0.156749227526777</v>
      </c>
      <c r="T12" s="17">
        <v>5.9636230305959902E-2</v>
      </c>
      <c r="U12" s="17">
        <v>9.4251280965901907E-2</v>
      </c>
      <c r="V12" s="17">
        <v>0.18301522468776099</v>
      </c>
      <c r="W12" s="17"/>
      <c r="X12" s="17">
        <v>0.147723412135631</v>
      </c>
      <c r="Y12" s="17">
        <v>0.106225422181255</v>
      </c>
    </row>
    <row r="13" spans="2:25" x14ac:dyDescent="0.35">
      <c r="B13" s="18" t="s">
        <v>309</v>
      </c>
      <c r="C13" s="17">
        <v>6.5200342663549807E-2</v>
      </c>
      <c r="D13" s="17">
        <v>9.2173250560033407E-2</v>
      </c>
      <c r="E13" s="17">
        <v>3.2243523145423197E-2</v>
      </c>
      <c r="F13" s="17"/>
      <c r="G13" s="17">
        <v>6.2916222360386895E-2</v>
      </c>
      <c r="H13" s="17">
        <v>7.9179995387972907E-2</v>
      </c>
      <c r="I13" s="17">
        <v>7.2762289320075293E-2</v>
      </c>
      <c r="J13" s="17">
        <v>6.1530081418185903E-2</v>
      </c>
      <c r="K13" s="17">
        <v>4.8302275540271798E-2</v>
      </c>
      <c r="L13" s="17">
        <v>4.6431731387867603E-2</v>
      </c>
      <c r="M13" s="17"/>
      <c r="N13" s="17">
        <v>6.5741236496832903E-2</v>
      </c>
      <c r="O13" s="17">
        <v>6.7639423022315903E-2</v>
      </c>
      <c r="P13" s="17">
        <v>4.4056286251456002E-2</v>
      </c>
      <c r="Q13" s="17">
        <v>6.8164108025563705E-2</v>
      </c>
      <c r="R13" s="17">
        <v>4.1829527735485802E-2</v>
      </c>
      <c r="S13" s="17">
        <v>7.9845474182785106E-2</v>
      </c>
      <c r="T13" s="17">
        <v>8.5742138139716498E-2</v>
      </c>
      <c r="U13" s="17">
        <v>5.43238018464599E-2</v>
      </c>
      <c r="V13" s="17">
        <v>8.5524758386803706E-2</v>
      </c>
      <c r="W13" s="17"/>
      <c r="X13" s="17">
        <v>4.5760723202187402E-2</v>
      </c>
      <c r="Y13" s="17">
        <v>8.1094331483876597E-2</v>
      </c>
    </row>
    <row r="14" spans="2:25" x14ac:dyDescent="0.35">
      <c r="B14" s="18" t="s">
        <v>310</v>
      </c>
      <c r="C14" s="19">
        <v>0.121488495608195</v>
      </c>
      <c r="D14" s="19">
        <v>0.11116141725873201</v>
      </c>
      <c r="E14" s="19">
        <v>0.13406029575886899</v>
      </c>
      <c r="F14" s="19"/>
      <c r="G14" s="19">
        <v>0.100149549001365</v>
      </c>
      <c r="H14" s="19">
        <v>9.4280598683509506E-2</v>
      </c>
      <c r="I14" s="19">
        <v>0.114617293759218</v>
      </c>
      <c r="J14" s="19">
        <v>0.12679854087798101</v>
      </c>
      <c r="K14" s="19">
        <v>0.15408839577385899</v>
      </c>
      <c r="L14" s="19">
        <v>0.16683439428241301</v>
      </c>
      <c r="M14" s="19"/>
      <c r="N14" s="19">
        <v>0.117013223694191</v>
      </c>
      <c r="O14" s="19">
        <v>0.153100169337197</v>
      </c>
      <c r="P14" s="19">
        <v>0.15290331723791201</v>
      </c>
      <c r="Q14" s="19">
        <v>0.106203028378914</v>
      </c>
      <c r="R14" s="19">
        <v>0.120740582249764</v>
      </c>
      <c r="S14" s="19">
        <v>9.8231673959716395E-2</v>
      </c>
      <c r="T14" s="19">
        <v>0.10132248882848199</v>
      </c>
      <c r="U14" s="19">
        <v>0.136988043212729</v>
      </c>
      <c r="V14" s="19">
        <v>0.154241197941863</v>
      </c>
      <c r="W14" s="19"/>
      <c r="X14" s="19">
        <v>8.0541736815500406E-2</v>
      </c>
      <c r="Y14" s="19">
        <v>0.15496689408061501</v>
      </c>
    </row>
    <row r="15" spans="2:25" x14ac:dyDescent="0.35">
      <c r="B15" s="16" t="s">
        <v>534</v>
      </c>
    </row>
    <row r="16" spans="2:25" x14ac:dyDescent="0.35">
      <c r="B16" t="s">
        <v>51</v>
      </c>
    </row>
    <row r="17" spans="2:2" x14ac:dyDescent="0.35">
      <c r="B17" t="s">
        <v>52</v>
      </c>
    </row>
    <row r="19" spans="2:2" x14ac:dyDescent="0.35">
      <c r="B19" s="8" t="str">
        <f>HYPERLINK("#'Contents'!A1", "Return to Contents")</f>
        <v>Return to Contents</v>
      </c>
    </row>
  </sheetData>
  <mergeCells count="5">
    <mergeCell ref="D5:E5"/>
    <mergeCell ref="G5:L5"/>
    <mergeCell ref="N5:V5"/>
    <mergeCell ref="X5:Y5"/>
    <mergeCell ref="D2:W2"/>
  </mergeCells>
  <pageMargins left="0.7" right="0.7" top="0.75" bottom="0.75" header="0.3" footer="0.3"/>
  <pageSetup paperSize="9" orientation="portrait" horizontalDpi="300" verticalDpi="300"/>
  <drawing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dimension ref="B2:L18"/>
  <sheetViews>
    <sheetView showGridLines="0" workbookViewId="0">
      <pane xSplit="2" topLeftCell="C1" activePane="topRight" state="frozen"/>
      <selection pane="topRight" activeCell="B12" sqref="B12"/>
    </sheetView>
  </sheetViews>
  <sheetFormatPr defaultColWidth="10.90625" defaultRowHeight="14.5" x14ac:dyDescent="0.35"/>
  <cols>
    <col min="2" max="2" width="25.7265625" customWidth="1"/>
    <col min="3" max="12" width="20.7265625" customWidth="1"/>
  </cols>
  <sheetData>
    <row r="2" spans="2:12" ht="40" customHeight="1" x14ac:dyDescent="0.35">
      <c r="D2" s="30" t="s">
        <v>325</v>
      </c>
      <c r="E2" s="26"/>
      <c r="F2" s="26"/>
      <c r="G2" s="26"/>
      <c r="H2" s="26"/>
      <c r="I2" s="26"/>
      <c r="J2" s="26"/>
      <c r="K2" s="26"/>
      <c r="L2" s="26"/>
    </row>
    <row r="6" spans="2:12" ht="50" customHeight="1" x14ac:dyDescent="0.35">
      <c r="B6" s="20" t="s">
        <v>15</v>
      </c>
      <c r="C6" s="20" t="s">
        <v>312</v>
      </c>
      <c r="D6" s="20" t="s">
        <v>313</v>
      </c>
      <c r="E6" s="20" t="s">
        <v>314</v>
      </c>
      <c r="F6" s="20" t="s">
        <v>315</v>
      </c>
      <c r="G6" s="20" t="s">
        <v>316</v>
      </c>
      <c r="H6" s="20" t="s">
        <v>317</v>
      </c>
      <c r="I6" s="20" t="s">
        <v>318</v>
      </c>
      <c r="J6" s="20" t="s">
        <v>319</v>
      </c>
      <c r="K6" s="20" t="s">
        <v>320</v>
      </c>
    </row>
    <row r="7" spans="2:12" ht="29" x14ac:dyDescent="0.35">
      <c r="B7" s="18" t="s">
        <v>321</v>
      </c>
      <c r="C7" s="17">
        <v>0.335194781277873</v>
      </c>
      <c r="D7" s="17">
        <v>0.42086667960970597</v>
      </c>
      <c r="E7" s="17">
        <v>0.234149215298496</v>
      </c>
      <c r="F7" s="17">
        <v>0.104670559907742</v>
      </c>
      <c r="G7" s="17">
        <v>0.14496084078206301</v>
      </c>
      <c r="H7" s="17">
        <v>0.45888381376235499</v>
      </c>
      <c r="I7" s="17">
        <v>0.26051112761013501</v>
      </c>
      <c r="J7" s="17">
        <v>0.104977843129627</v>
      </c>
      <c r="K7" s="17">
        <v>7.6145592187622096E-2</v>
      </c>
    </row>
    <row r="8" spans="2:12" x14ac:dyDescent="0.35">
      <c r="B8" s="18" t="s">
        <v>277</v>
      </c>
      <c r="C8" s="17">
        <v>0.35988269522361599</v>
      </c>
      <c r="D8" s="17">
        <v>0.35215816724960902</v>
      </c>
      <c r="E8" s="17">
        <v>0.38567957035178602</v>
      </c>
      <c r="F8" s="17">
        <v>0.237091265846188</v>
      </c>
      <c r="G8" s="17">
        <v>0.30757724116058599</v>
      </c>
      <c r="H8" s="17">
        <v>0.34757167570545999</v>
      </c>
      <c r="I8" s="17">
        <v>0.32722377317458701</v>
      </c>
      <c r="J8" s="17">
        <v>0.20872554726641901</v>
      </c>
      <c r="K8" s="17">
        <v>0.25711175372325501</v>
      </c>
    </row>
    <row r="9" spans="2:12" x14ac:dyDescent="0.35">
      <c r="B9" s="18" t="s">
        <v>322</v>
      </c>
      <c r="C9" s="17">
        <v>0.17569238440665899</v>
      </c>
      <c r="D9" s="17">
        <v>0.113804455898759</v>
      </c>
      <c r="E9" s="17">
        <v>0.22118499600646599</v>
      </c>
      <c r="F9" s="17">
        <v>0.33280119118559498</v>
      </c>
      <c r="G9" s="17">
        <v>0.274569049230728</v>
      </c>
      <c r="H9" s="17">
        <v>8.6780860535182094E-2</v>
      </c>
      <c r="I9" s="17">
        <v>0.19545747609575201</v>
      </c>
      <c r="J9" s="17">
        <v>0.26233767801128699</v>
      </c>
      <c r="K9" s="17">
        <v>0.25670689385912998</v>
      </c>
    </row>
    <row r="10" spans="2:12" x14ac:dyDescent="0.35">
      <c r="B10" s="18" t="s">
        <v>323</v>
      </c>
      <c r="C10" s="17">
        <v>0.12697643175491</v>
      </c>
      <c r="D10" s="17">
        <v>0.10777249947952799</v>
      </c>
      <c r="E10" s="17">
        <v>0.156394226559607</v>
      </c>
      <c r="F10" s="17">
        <v>0.321405028281115</v>
      </c>
      <c r="G10" s="17">
        <v>0.26868125047437103</v>
      </c>
      <c r="H10" s="17">
        <v>0.100975929240984</v>
      </c>
      <c r="I10" s="17">
        <v>0.209423951029444</v>
      </c>
      <c r="J10" s="17">
        <v>0.41482929010064901</v>
      </c>
      <c r="K10" s="17">
        <v>0.36497042992195999</v>
      </c>
    </row>
    <row r="11" spans="2:12" x14ac:dyDescent="0.35">
      <c r="B11" s="18" t="s">
        <v>324</v>
      </c>
      <c r="C11" s="17">
        <v>2.25370733694204E-3</v>
      </c>
      <c r="D11" s="17">
        <v>5.3981977623976697E-3</v>
      </c>
      <c r="E11" s="17">
        <v>2.59199178364503E-3</v>
      </c>
      <c r="F11" s="17">
        <v>4.0319547793607902E-3</v>
      </c>
      <c r="G11" s="17">
        <v>4.2116183522506899E-3</v>
      </c>
      <c r="H11" s="17">
        <v>5.7877207560190699E-3</v>
      </c>
      <c r="I11" s="17">
        <v>7.3836720900827303E-3</v>
      </c>
      <c r="J11" s="17">
        <v>9.1296414920182499E-3</v>
      </c>
      <c r="K11" s="17">
        <v>4.5065330308033398E-2</v>
      </c>
    </row>
    <row r="12" spans="2:12" x14ac:dyDescent="0.35">
      <c r="B12" s="16" t="s">
        <v>534</v>
      </c>
      <c r="C12" s="16"/>
      <c r="D12" s="16"/>
      <c r="E12" s="16"/>
      <c r="F12" s="16"/>
      <c r="G12" s="16"/>
      <c r="H12" s="16"/>
      <c r="I12" s="16"/>
      <c r="J12" s="16"/>
      <c r="K12" s="16"/>
    </row>
    <row r="13" spans="2:12" x14ac:dyDescent="0.35">
      <c r="B13" t="s">
        <v>51</v>
      </c>
    </row>
    <row r="14" spans="2:12" x14ac:dyDescent="0.35">
      <c r="B14" t="s">
        <v>52</v>
      </c>
    </row>
    <row r="18" spans="2:2" x14ac:dyDescent="0.35">
      <c r="B18" s="8" t="str">
        <f>HYPERLINK("#'Contents'!A1", "Return to Contents")</f>
        <v>Return to Contents</v>
      </c>
    </row>
  </sheetData>
  <mergeCells count="1">
    <mergeCell ref="D2:L2"/>
  </mergeCells>
  <pageMargins left="0.7" right="0.7" top="0.75" bottom="0.75" header="0.3" footer="0.3"/>
  <pageSetup paperSize="9" orientation="portrait" horizontalDpi="300" verticalDpi="300"/>
  <drawing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dimension ref="B2:Y18"/>
  <sheetViews>
    <sheetView showGridLines="0" topLeftCell="A7" workbookViewId="0">
      <pane xSplit="2" topLeftCell="C1" activePane="topRight" state="frozen"/>
      <selection pane="topRight" activeCell="B14" sqref="B14"/>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s>
  <sheetData>
    <row r="2" spans="2:25" ht="40" customHeight="1" x14ac:dyDescent="0.35">
      <c r="D2" s="30" t="s">
        <v>326</v>
      </c>
      <c r="E2" s="26"/>
      <c r="F2" s="26"/>
      <c r="G2" s="26"/>
      <c r="H2" s="26"/>
      <c r="I2" s="26"/>
      <c r="J2" s="26"/>
      <c r="K2" s="26"/>
      <c r="L2" s="26"/>
      <c r="M2" s="26"/>
      <c r="N2" s="26"/>
      <c r="O2" s="26"/>
      <c r="P2" s="26"/>
      <c r="Q2" s="26"/>
      <c r="R2" s="26"/>
      <c r="S2" s="26"/>
      <c r="T2" s="26"/>
      <c r="U2" s="26"/>
      <c r="V2" s="26"/>
      <c r="W2" s="26"/>
    </row>
    <row r="5" spans="2:25" ht="30" customHeight="1" x14ac:dyDescent="0.35">
      <c r="B5" s="15"/>
      <c r="C5" s="15"/>
      <c r="D5" s="29" t="s">
        <v>38</v>
      </c>
      <c r="E5" s="29"/>
      <c r="F5" s="15"/>
      <c r="G5" s="29" t="s">
        <v>39</v>
      </c>
      <c r="H5" s="29"/>
      <c r="I5" s="29"/>
      <c r="J5" s="29"/>
      <c r="K5" s="29"/>
      <c r="L5" s="29"/>
      <c r="M5" s="15"/>
      <c r="N5" s="29" t="s">
        <v>40</v>
      </c>
      <c r="O5" s="29"/>
      <c r="P5" s="29"/>
      <c r="Q5" s="29"/>
      <c r="R5" s="29"/>
      <c r="S5" s="29"/>
      <c r="T5" s="29"/>
      <c r="U5" s="29"/>
      <c r="V5" s="29"/>
      <c r="W5" s="15"/>
      <c r="X5" s="29" t="s">
        <v>41</v>
      </c>
      <c r="Y5" s="29"/>
    </row>
    <row r="6" spans="2:25" ht="29"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row>
    <row r="7" spans="2:25" ht="30" customHeight="1" x14ac:dyDescent="0.35">
      <c r="B7" s="10" t="s">
        <v>19</v>
      </c>
      <c r="C7" s="10">
        <v>3716</v>
      </c>
      <c r="D7" s="10">
        <v>1971</v>
      </c>
      <c r="E7" s="10">
        <v>1736</v>
      </c>
      <c r="F7" s="10"/>
      <c r="G7" s="10">
        <v>251</v>
      </c>
      <c r="H7" s="10">
        <v>847</v>
      </c>
      <c r="I7" s="10">
        <v>873</v>
      </c>
      <c r="J7" s="10">
        <v>919</v>
      </c>
      <c r="K7" s="10">
        <v>652</v>
      </c>
      <c r="L7" s="10">
        <v>174</v>
      </c>
      <c r="M7" s="10"/>
      <c r="N7" s="10">
        <v>101</v>
      </c>
      <c r="O7" s="10">
        <v>101</v>
      </c>
      <c r="P7" s="10">
        <v>508</v>
      </c>
      <c r="Q7" s="10">
        <v>536</v>
      </c>
      <c r="R7" s="10">
        <v>488</v>
      </c>
      <c r="S7" s="10">
        <v>546</v>
      </c>
      <c r="T7" s="10">
        <v>648</v>
      </c>
      <c r="U7" s="10">
        <v>573</v>
      </c>
      <c r="V7" s="10">
        <v>215</v>
      </c>
      <c r="W7" s="10"/>
      <c r="X7" s="10">
        <v>1783</v>
      </c>
      <c r="Y7" s="10">
        <v>1933</v>
      </c>
    </row>
    <row r="8" spans="2:25" ht="30" customHeight="1" x14ac:dyDescent="0.35">
      <c r="B8" s="11" t="s">
        <v>20</v>
      </c>
      <c r="C8" s="11">
        <v>3642</v>
      </c>
      <c r="D8" s="11">
        <v>1990</v>
      </c>
      <c r="E8" s="11">
        <v>1643</v>
      </c>
      <c r="F8" s="11"/>
      <c r="G8" s="11">
        <v>263</v>
      </c>
      <c r="H8" s="11">
        <v>804</v>
      </c>
      <c r="I8" s="11">
        <v>885</v>
      </c>
      <c r="J8" s="11">
        <v>875</v>
      </c>
      <c r="K8" s="11">
        <v>630</v>
      </c>
      <c r="L8" s="11">
        <v>185</v>
      </c>
      <c r="M8" s="11"/>
      <c r="N8" s="11">
        <v>106</v>
      </c>
      <c r="O8" s="11">
        <v>95</v>
      </c>
      <c r="P8" s="11">
        <v>509</v>
      </c>
      <c r="Q8" s="11">
        <v>549</v>
      </c>
      <c r="R8" s="11">
        <v>458</v>
      </c>
      <c r="S8" s="11">
        <v>556</v>
      </c>
      <c r="T8" s="11">
        <v>615</v>
      </c>
      <c r="U8" s="11">
        <v>531</v>
      </c>
      <c r="V8" s="11">
        <v>224</v>
      </c>
      <c r="W8" s="11"/>
      <c r="X8" s="11">
        <v>1638</v>
      </c>
      <c r="Y8" s="11">
        <v>2004</v>
      </c>
    </row>
    <row r="9" spans="2:25" ht="29" x14ac:dyDescent="0.35">
      <c r="B9" s="18" t="s">
        <v>321</v>
      </c>
      <c r="C9" s="17">
        <v>0.335194781277873</v>
      </c>
      <c r="D9" s="17">
        <v>0.35730067958100498</v>
      </c>
      <c r="E9" s="17">
        <v>0.30848335594779602</v>
      </c>
      <c r="F9" s="17"/>
      <c r="G9" s="17">
        <v>0.32123458686024098</v>
      </c>
      <c r="H9" s="17">
        <v>0.334957290652733</v>
      </c>
      <c r="I9" s="17">
        <v>0.34506291617736601</v>
      </c>
      <c r="J9" s="17">
        <v>0.31322946399727702</v>
      </c>
      <c r="K9" s="17">
        <v>0.33939845561286702</v>
      </c>
      <c r="L9" s="17">
        <v>0.39859724145045999</v>
      </c>
      <c r="M9" s="17"/>
      <c r="N9" s="17">
        <v>0.267440144909599</v>
      </c>
      <c r="O9" s="17">
        <v>0.512877046525689</v>
      </c>
      <c r="P9" s="17">
        <v>0.334816614021343</v>
      </c>
      <c r="Q9" s="17">
        <v>0.24843873119621801</v>
      </c>
      <c r="R9" s="17">
        <v>0.32424848367296399</v>
      </c>
      <c r="S9" s="17">
        <v>0.35971882349907802</v>
      </c>
      <c r="T9" s="17">
        <v>0.31274005041284503</v>
      </c>
      <c r="U9" s="17">
        <v>0.412581924512121</v>
      </c>
      <c r="V9" s="17">
        <v>0.34545875729709602</v>
      </c>
      <c r="W9" s="17"/>
      <c r="X9" s="17">
        <v>0.41109431278618802</v>
      </c>
      <c r="Y9" s="17">
        <v>0.273138715434666</v>
      </c>
    </row>
    <row r="10" spans="2:25" x14ac:dyDescent="0.35">
      <c r="B10" s="18" t="s">
        <v>277</v>
      </c>
      <c r="C10" s="17">
        <v>0.35988269522361599</v>
      </c>
      <c r="D10" s="17">
        <v>0.35703605746762601</v>
      </c>
      <c r="E10" s="17">
        <v>0.36346074211704099</v>
      </c>
      <c r="F10" s="17"/>
      <c r="G10" s="17">
        <v>0.40969225810722298</v>
      </c>
      <c r="H10" s="17">
        <v>0.36543675041926599</v>
      </c>
      <c r="I10" s="17">
        <v>0.34932806784266901</v>
      </c>
      <c r="J10" s="17">
        <v>0.36691580178869199</v>
      </c>
      <c r="K10" s="17">
        <v>0.34371535787298901</v>
      </c>
      <c r="L10" s="17">
        <v>0.337133024593605</v>
      </c>
      <c r="M10" s="17"/>
      <c r="N10" s="17">
        <v>0.44896197279212702</v>
      </c>
      <c r="O10" s="17">
        <v>0.31234147278239199</v>
      </c>
      <c r="P10" s="17">
        <v>0.30852927407494002</v>
      </c>
      <c r="Q10" s="17">
        <v>0.33460961193466099</v>
      </c>
      <c r="R10" s="17">
        <v>0.405655995340447</v>
      </c>
      <c r="S10" s="17">
        <v>0.34612363055455098</v>
      </c>
      <c r="T10" s="17">
        <v>0.42284730923186098</v>
      </c>
      <c r="U10" s="17">
        <v>0.312905670280126</v>
      </c>
      <c r="V10" s="17">
        <v>0.39532926135836799</v>
      </c>
      <c r="W10" s="17"/>
      <c r="X10" s="17">
        <v>0.351914176553902</v>
      </c>
      <c r="Y10" s="17">
        <v>0.366397820013108</v>
      </c>
    </row>
    <row r="11" spans="2:25" x14ac:dyDescent="0.35">
      <c r="B11" s="18" t="s">
        <v>322</v>
      </c>
      <c r="C11" s="17">
        <v>0.17569238440665899</v>
      </c>
      <c r="D11" s="17">
        <v>0.179057077349245</v>
      </c>
      <c r="E11" s="17">
        <v>0.171831857163838</v>
      </c>
      <c r="F11" s="17"/>
      <c r="G11" s="17">
        <v>0.159960667168177</v>
      </c>
      <c r="H11" s="17">
        <v>0.195071737740872</v>
      </c>
      <c r="I11" s="17">
        <v>0.17692391668559801</v>
      </c>
      <c r="J11" s="17">
        <v>0.16239828785598301</v>
      </c>
      <c r="K11" s="17">
        <v>0.18191448897483101</v>
      </c>
      <c r="L11" s="17">
        <v>0.14965004480057001</v>
      </c>
      <c r="M11" s="17"/>
      <c r="N11" s="17">
        <v>0.15452966627165299</v>
      </c>
      <c r="O11" s="17">
        <v>0.117856574137137</v>
      </c>
      <c r="P11" s="17">
        <v>0.166641837946094</v>
      </c>
      <c r="Q11" s="17">
        <v>0.23097302786732901</v>
      </c>
      <c r="R11" s="17">
        <v>0.17060991801393099</v>
      </c>
      <c r="S11" s="17">
        <v>0.189333565455299</v>
      </c>
      <c r="T11" s="17">
        <v>0.159267953563998</v>
      </c>
      <c r="U11" s="17">
        <v>0.150994885639403</v>
      </c>
      <c r="V11" s="17">
        <v>0.175346635700034</v>
      </c>
      <c r="W11" s="17"/>
      <c r="X11" s="17">
        <v>0.15935053877657299</v>
      </c>
      <c r="Y11" s="17">
        <v>0.18905360849153999</v>
      </c>
    </row>
    <row r="12" spans="2:25" x14ac:dyDescent="0.35">
      <c r="B12" s="18" t="s">
        <v>323</v>
      </c>
      <c r="C12" s="17">
        <v>0.12697643175491</v>
      </c>
      <c r="D12" s="17">
        <v>0.104478800932559</v>
      </c>
      <c r="E12" s="17">
        <v>0.15380522847741901</v>
      </c>
      <c r="F12" s="17"/>
      <c r="G12" s="17">
        <v>0.100058671363654</v>
      </c>
      <c r="H12" s="17">
        <v>0.104534221187128</v>
      </c>
      <c r="I12" s="17">
        <v>0.126173393097124</v>
      </c>
      <c r="J12" s="17">
        <v>0.15651739622261401</v>
      </c>
      <c r="K12" s="17">
        <v>0.13055850286638701</v>
      </c>
      <c r="L12" s="17">
        <v>0.114619689155365</v>
      </c>
      <c r="M12" s="17"/>
      <c r="N12" s="17">
        <v>0.129068216026621</v>
      </c>
      <c r="O12" s="17">
        <v>5.6924906554782301E-2</v>
      </c>
      <c r="P12" s="17">
        <v>0.18343882161219999</v>
      </c>
      <c r="Q12" s="17">
        <v>0.178917435254381</v>
      </c>
      <c r="R12" s="17">
        <v>9.9485602972658099E-2</v>
      </c>
      <c r="S12" s="17">
        <v>0.104823980491072</v>
      </c>
      <c r="T12" s="17">
        <v>0.105144686791296</v>
      </c>
      <c r="U12" s="17">
        <v>0.12351751956835</v>
      </c>
      <c r="V12" s="17">
        <v>7.94555239374721E-2</v>
      </c>
      <c r="W12" s="17"/>
      <c r="X12" s="17">
        <v>7.6912848913575804E-2</v>
      </c>
      <c r="Y12" s="17">
        <v>0.16790881870657801</v>
      </c>
    </row>
    <row r="13" spans="2:25" x14ac:dyDescent="0.35">
      <c r="B13" s="18" t="s">
        <v>324</v>
      </c>
      <c r="C13" s="19">
        <v>2.25370733694204E-3</v>
      </c>
      <c r="D13" s="19">
        <v>2.12738466956559E-3</v>
      </c>
      <c r="E13" s="19">
        <v>2.4188162939063401E-3</v>
      </c>
      <c r="F13" s="19"/>
      <c r="G13" s="19">
        <v>9.0538165007045795E-3</v>
      </c>
      <c r="H13" s="19">
        <v>0</v>
      </c>
      <c r="I13" s="19">
        <v>2.51170619724401E-3</v>
      </c>
      <c r="J13" s="19">
        <v>9.3905013543472201E-4</v>
      </c>
      <c r="K13" s="19">
        <v>4.4131946729257998E-3</v>
      </c>
      <c r="L13" s="19">
        <v>0</v>
      </c>
      <c r="M13" s="19"/>
      <c r="N13" s="19">
        <v>0</v>
      </c>
      <c r="O13" s="19">
        <v>0</v>
      </c>
      <c r="P13" s="19">
        <v>6.5734523454222E-3</v>
      </c>
      <c r="Q13" s="19">
        <v>7.0611937474112799E-3</v>
      </c>
      <c r="R13" s="19">
        <v>0</v>
      </c>
      <c r="S13" s="19">
        <v>0</v>
      </c>
      <c r="T13" s="19">
        <v>0</v>
      </c>
      <c r="U13" s="19">
        <v>0</v>
      </c>
      <c r="V13" s="19">
        <v>4.4098217070299298E-3</v>
      </c>
      <c r="W13" s="19"/>
      <c r="X13" s="19">
        <v>7.2812296976052502E-4</v>
      </c>
      <c r="Y13" s="19">
        <v>3.50103735410838E-3</v>
      </c>
    </row>
    <row r="14" spans="2:25" x14ac:dyDescent="0.35">
      <c r="B14" s="16" t="s">
        <v>534</v>
      </c>
    </row>
    <row r="15" spans="2:25" x14ac:dyDescent="0.35">
      <c r="B15" t="s">
        <v>51</v>
      </c>
    </row>
    <row r="16" spans="2:25" x14ac:dyDescent="0.35">
      <c r="B16" t="s">
        <v>52</v>
      </c>
    </row>
    <row r="18" spans="2:2" x14ac:dyDescent="0.35">
      <c r="B18" s="8" t="str">
        <f>HYPERLINK("#'Contents'!A1", "Return to Contents")</f>
        <v>Return to Contents</v>
      </c>
    </row>
  </sheetData>
  <mergeCells count="5">
    <mergeCell ref="D5:E5"/>
    <mergeCell ref="G5:L5"/>
    <mergeCell ref="N5:V5"/>
    <mergeCell ref="X5:Y5"/>
    <mergeCell ref="D2:W2"/>
  </mergeCells>
  <pageMargins left="0.7" right="0.7" top="0.75" bottom="0.75" header="0.3" footer="0.3"/>
  <pageSetup paperSize="9" orientation="portrait" horizontalDpi="300" verticalDpi="300"/>
  <drawing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dimension ref="B2:Y18"/>
  <sheetViews>
    <sheetView showGridLines="0" topLeftCell="A7" workbookViewId="0">
      <pane xSplit="2" topLeftCell="C1" activePane="topRight" state="frozen"/>
      <selection pane="topRight" activeCell="B14" sqref="B14"/>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s>
  <sheetData>
    <row r="2" spans="2:25" ht="40" customHeight="1" x14ac:dyDescent="0.35">
      <c r="D2" s="30" t="s">
        <v>327</v>
      </c>
      <c r="E2" s="26"/>
      <c r="F2" s="26"/>
      <c r="G2" s="26"/>
      <c r="H2" s="26"/>
      <c r="I2" s="26"/>
      <c r="J2" s="26"/>
      <c r="K2" s="26"/>
      <c r="L2" s="26"/>
      <c r="M2" s="26"/>
      <c r="N2" s="26"/>
      <c r="O2" s="26"/>
      <c r="P2" s="26"/>
      <c r="Q2" s="26"/>
      <c r="R2" s="26"/>
      <c r="S2" s="26"/>
      <c r="T2" s="26"/>
      <c r="U2" s="26"/>
      <c r="V2" s="26"/>
      <c r="W2" s="26"/>
    </row>
    <row r="5" spans="2:25" ht="30" customHeight="1" x14ac:dyDescent="0.35">
      <c r="B5" s="15"/>
      <c r="C5" s="15"/>
      <c r="D5" s="29" t="s">
        <v>38</v>
      </c>
      <c r="E5" s="29"/>
      <c r="F5" s="15"/>
      <c r="G5" s="29" t="s">
        <v>39</v>
      </c>
      <c r="H5" s="29"/>
      <c r="I5" s="29"/>
      <c r="J5" s="29"/>
      <c r="K5" s="29"/>
      <c r="L5" s="29"/>
      <c r="M5" s="15"/>
      <c r="N5" s="29" t="s">
        <v>40</v>
      </c>
      <c r="O5" s="29"/>
      <c r="P5" s="29"/>
      <c r="Q5" s="29"/>
      <c r="R5" s="29"/>
      <c r="S5" s="29"/>
      <c r="T5" s="29"/>
      <c r="U5" s="29"/>
      <c r="V5" s="29"/>
      <c r="W5" s="15"/>
      <c r="X5" s="29" t="s">
        <v>41</v>
      </c>
      <c r="Y5" s="29"/>
    </row>
    <row r="6" spans="2:25" ht="29"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row>
    <row r="7" spans="2:25" ht="30" customHeight="1" x14ac:dyDescent="0.35">
      <c r="B7" s="10" t="s">
        <v>19</v>
      </c>
      <c r="C7" s="10">
        <v>3716</v>
      </c>
      <c r="D7" s="10">
        <v>1971</v>
      </c>
      <c r="E7" s="10">
        <v>1736</v>
      </c>
      <c r="F7" s="10"/>
      <c r="G7" s="10">
        <v>251</v>
      </c>
      <c r="H7" s="10">
        <v>847</v>
      </c>
      <c r="I7" s="10">
        <v>873</v>
      </c>
      <c r="J7" s="10">
        <v>919</v>
      </c>
      <c r="K7" s="10">
        <v>652</v>
      </c>
      <c r="L7" s="10">
        <v>174</v>
      </c>
      <c r="M7" s="10"/>
      <c r="N7" s="10">
        <v>101</v>
      </c>
      <c r="O7" s="10">
        <v>101</v>
      </c>
      <c r="P7" s="10">
        <v>508</v>
      </c>
      <c r="Q7" s="10">
        <v>536</v>
      </c>
      <c r="R7" s="10">
        <v>488</v>
      </c>
      <c r="S7" s="10">
        <v>546</v>
      </c>
      <c r="T7" s="10">
        <v>648</v>
      </c>
      <c r="U7" s="10">
        <v>573</v>
      </c>
      <c r="V7" s="10">
        <v>215</v>
      </c>
      <c r="W7" s="10"/>
      <c r="X7" s="10">
        <v>1783</v>
      </c>
      <c r="Y7" s="10">
        <v>1933</v>
      </c>
    </row>
    <row r="8" spans="2:25" ht="30" customHeight="1" x14ac:dyDescent="0.35">
      <c r="B8" s="11" t="s">
        <v>20</v>
      </c>
      <c r="C8" s="11">
        <v>3642</v>
      </c>
      <c r="D8" s="11">
        <v>1990</v>
      </c>
      <c r="E8" s="11">
        <v>1643</v>
      </c>
      <c r="F8" s="11"/>
      <c r="G8" s="11">
        <v>263</v>
      </c>
      <c r="H8" s="11">
        <v>804</v>
      </c>
      <c r="I8" s="11">
        <v>885</v>
      </c>
      <c r="J8" s="11">
        <v>875</v>
      </c>
      <c r="K8" s="11">
        <v>630</v>
      </c>
      <c r="L8" s="11">
        <v>185</v>
      </c>
      <c r="M8" s="11"/>
      <c r="N8" s="11">
        <v>106</v>
      </c>
      <c r="O8" s="11">
        <v>95</v>
      </c>
      <c r="P8" s="11">
        <v>509</v>
      </c>
      <c r="Q8" s="11">
        <v>549</v>
      </c>
      <c r="R8" s="11">
        <v>458</v>
      </c>
      <c r="S8" s="11">
        <v>556</v>
      </c>
      <c r="T8" s="11">
        <v>615</v>
      </c>
      <c r="U8" s="11">
        <v>531</v>
      </c>
      <c r="V8" s="11">
        <v>224</v>
      </c>
      <c r="W8" s="11"/>
      <c r="X8" s="11">
        <v>1638</v>
      </c>
      <c r="Y8" s="11">
        <v>2004</v>
      </c>
    </row>
    <row r="9" spans="2:25" ht="29" x14ac:dyDescent="0.35">
      <c r="B9" s="18" t="s">
        <v>321</v>
      </c>
      <c r="C9" s="17">
        <v>0.42086667960970597</v>
      </c>
      <c r="D9" s="17">
        <v>0.414852724588402</v>
      </c>
      <c r="E9" s="17">
        <v>0.42801066295988899</v>
      </c>
      <c r="F9" s="17"/>
      <c r="G9" s="17">
        <v>0.36365366896385998</v>
      </c>
      <c r="H9" s="17">
        <v>0.42182787046857301</v>
      </c>
      <c r="I9" s="17">
        <v>0.43134654046827298</v>
      </c>
      <c r="J9" s="17">
        <v>0.41093772031650699</v>
      </c>
      <c r="K9" s="17">
        <v>0.429001456703684</v>
      </c>
      <c r="L9" s="17">
        <v>0.46729598774138198</v>
      </c>
      <c r="M9" s="17"/>
      <c r="N9" s="17">
        <v>0.31801084875733698</v>
      </c>
      <c r="O9" s="17">
        <v>0.52458513860512901</v>
      </c>
      <c r="P9" s="17">
        <v>0.42887649750000001</v>
      </c>
      <c r="Q9" s="17">
        <v>0.39204061188445299</v>
      </c>
      <c r="R9" s="17">
        <v>0.41352695753487501</v>
      </c>
      <c r="S9" s="17">
        <v>0.43536699554771502</v>
      </c>
      <c r="T9" s="17">
        <v>0.35722038676849999</v>
      </c>
      <c r="U9" s="17">
        <v>0.478009182027609</v>
      </c>
      <c r="V9" s="17">
        <v>0.49644908139157501</v>
      </c>
      <c r="W9" s="17"/>
      <c r="X9" s="17">
        <v>0.53436468542082105</v>
      </c>
      <c r="Y9" s="17">
        <v>0.328069799553659</v>
      </c>
    </row>
    <row r="10" spans="2:25" x14ac:dyDescent="0.35">
      <c r="B10" s="18" t="s">
        <v>277</v>
      </c>
      <c r="C10" s="17">
        <v>0.35215816724960902</v>
      </c>
      <c r="D10" s="17">
        <v>0.36624677285498403</v>
      </c>
      <c r="E10" s="17">
        <v>0.33641249750281299</v>
      </c>
      <c r="F10" s="17"/>
      <c r="G10" s="17">
        <v>0.37773966348654198</v>
      </c>
      <c r="H10" s="17">
        <v>0.36885924518624402</v>
      </c>
      <c r="I10" s="17">
        <v>0.33591263103024699</v>
      </c>
      <c r="J10" s="17">
        <v>0.366157343399588</v>
      </c>
      <c r="K10" s="17">
        <v>0.322467841103041</v>
      </c>
      <c r="L10" s="17">
        <v>0.355802234803894</v>
      </c>
      <c r="M10" s="17"/>
      <c r="N10" s="17">
        <v>0.43537456548348202</v>
      </c>
      <c r="O10" s="17">
        <v>0.26113751268862301</v>
      </c>
      <c r="P10" s="17">
        <v>0.31498576458085498</v>
      </c>
      <c r="Q10" s="17">
        <v>0.32237436127625901</v>
      </c>
      <c r="R10" s="17">
        <v>0.398383484198643</v>
      </c>
      <c r="S10" s="17">
        <v>0.36190150639423402</v>
      </c>
      <c r="T10" s="17">
        <v>0.43216793845795498</v>
      </c>
      <c r="U10" s="17">
        <v>0.29112103121779198</v>
      </c>
      <c r="V10" s="17">
        <v>0.31488043980667102</v>
      </c>
      <c r="W10" s="17"/>
      <c r="X10" s="17">
        <v>0.33803371273222099</v>
      </c>
      <c r="Y10" s="17">
        <v>0.36370643457237101</v>
      </c>
    </row>
    <row r="11" spans="2:25" x14ac:dyDescent="0.35">
      <c r="B11" s="18" t="s">
        <v>322</v>
      </c>
      <c r="C11" s="17">
        <v>0.113804455898759</v>
      </c>
      <c r="D11" s="17">
        <v>0.117101195501273</v>
      </c>
      <c r="E11" s="17">
        <v>0.109197089355258</v>
      </c>
      <c r="F11" s="17"/>
      <c r="G11" s="17">
        <v>0.14211078037525601</v>
      </c>
      <c r="H11" s="17">
        <v>0.12774557018851501</v>
      </c>
      <c r="I11" s="17">
        <v>0.123550429345096</v>
      </c>
      <c r="J11" s="17">
        <v>0.10095548849505399</v>
      </c>
      <c r="K11" s="17">
        <v>0.102203242527327</v>
      </c>
      <c r="L11" s="17">
        <v>6.6585481922699002E-2</v>
      </c>
      <c r="M11" s="17"/>
      <c r="N11" s="17">
        <v>8.8480926894754897E-2</v>
      </c>
      <c r="O11" s="17">
        <v>0.13051421512934999</v>
      </c>
      <c r="P11" s="17">
        <v>0.117955654716715</v>
      </c>
      <c r="Q11" s="17">
        <v>0.14823861191049401</v>
      </c>
      <c r="R11" s="17">
        <v>0.103398751082283</v>
      </c>
      <c r="S11" s="17">
        <v>8.8725934148311106E-2</v>
      </c>
      <c r="T11" s="17">
        <v>0.11294624461352699</v>
      </c>
      <c r="U11" s="17">
        <v>0.11107223701718801</v>
      </c>
      <c r="V11" s="17">
        <v>0.117266682032902</v>
      </c>
      <c r="W11" s="17"/>
      <c r="X11" s="17">
        <v>8.5847044584962104E-2</v>
      </c>
      <c r="Y11" s="17">
        <v>0.136662659669154</v>
      </c>
    </row>
    <row r="12" spans="2:25" x14ac:dyDescent="0.35">
      <c r="B12" s="18" t="s">
        <v>323</v>
      </c>
      <c r="C12" s="17">
        <v>0.10777249947952799</v>
      </c>
      <c r="D12" s="17">
        <v>9.8607444129923297E-2</v>
      </c>
      <c r="E12" s="17">
        <v>0.11827949112215801</v>
      </c>
      <c r="F12" s="17"/>
      <c r="G12" s="17">
        <v>0.104019973321966</v>
      </c>
      <c r="H12" s="17">
        <v>7.9498270989521599E-2</v>
      </c>
      <c r="I12" s="17">
        <v>0.103640408877891</v>
      </c>
      <c r="J12" s="17">
        <v>0.116544753705746</v>
      </c>
      <c r="K12" s="17">
        <v>0.138278258564521</v>
      </c>
      <c r="L12" s="17">
        <v>0.110316295532025</v>
      </c>
      <c r="M12" s="17"/>
      <c r="N12" s="17">
        <v>0.12884554355136901</v>
      </c>
      <c r="O12" s="17">
        <v>8.3763133576898394E-2</v>
      </c>
      <c r="P12" s="17">
        <v>0.133629587430841</v>
      </c>
      <c r="Q12" s="17">
        <v>0.12757570942896199</v>
      </c>
      <c r="R12" s="17">
        <v>7.8352934703117896E-2</v>
      </c>
      <c r="S12" s="17">
        <v>0.10859064538143499</v>
      </c>
      <c r="T12" s="17">
        <v>9.4472309410279301E-2</v>
      </c>
      <c r="U12" s="17">
        <v>0.117908322945792</v>
      </c>
      <c r="V12" s="17">
        <v>7.1403796768852001E-2</v>
      </c>
      <c r="W12" s="17"/>
      <c r="X12" s="17">
        <v>4.1099932438487502E-2</v>
      </c>
      <c r="Y12" s="17">
        <v>0.162284525153642</v>
      </c>
    </row>
    <row r="13" spans="2:25" x14ac:dyDescent="0.35">
      <c r="B13" s="18" t="s">
        <v>324</v>
      </c>
      <c r="C13" s="19">
        <v>5.3981977623976697E-3</v>
      </c>
      <c r="D13" s="19">
        <v>3.1918629254172699E-3</v>
      </c>
      <c r="E13" s="19">
        <v>8.1002590598819903E-3</v>
      </c>
      <c r="F13" s="19"/>
      <c r="G13" s="19">
        <v>1.24759138523758E-2</v>
      </c>
      <c r="H13" s="19">
        <v>2.06904316714607E-3</v>
      </c>
      <c r="I13" s="19">
        <v>5.5499902784931004E-3</v>
      </c>
      <c r="J13" s="19">
        <v>5.40469408310572E-3</v>
      </c>
      <c r="K13" s="19">
        <v>8.0492011014261806E-3</v>
      </c>
      <c r="L13" s="19">
        <v>0</v>
      </c>
      <c r="M13" s="19"/>
      <c r="N13" s="19">
        <v>2.9288115313057299E-2</v>
      </c>
      <c r="O13" s="19">
        <v>0</v>
      </c>
      <c r="P13" s="19">
        <v>4.5524957715892302E-3</v>
      </c>
      <c r="Q13" s="19">
        <v>9.7707054998326208E-3</v>
      </c>
      <c r="R13" s="19">
        <v>6.3378724810816299E-3</v>
      </c>
      <c r="S13" s="19">
        <v>5.4149185283053798E-3</v>
      </c>
      <c r="T13" s="19">
        <v>3.1931207497381902E-3</v>
      </c>
      <c r="U13" s="19">
        <v>1.8892267916185801E-3</v>
      </c>
      <c r="V13" s="19">
        <v>0</v>
      </c>
      <c r="W13" s="19"/>
      <c r="X13" s="19">
        <v>6.5462482350798102E-4</v>
      </c>
      <c r="Y13" s="19">
        <v>9.2765810511738992E-3</v>
      </c>
    </row>
    <row r="14" spans="2:25" x14ac:dyDescent="0.35">
      <c r="B14" s="16" t="s">
        <v>534</v>
      </c>
    </row>
    <row r="15" spans="2:25" x14ac:dyDescent="0.35">
      <c r="B15" t="s">
        <v>51</v>
      </c>
    </row>
    <row r="16" spans="2:25" x14ac:dyDescent="0.35">
      <c r="B16" t="s">
        <v>52</v>
      </c>
    </row>
    <row r="18" spans="2:2" x14ac:dyDescent="0.35">
      <c r="B18" s="8" t="str">
        <f>HYPERLINK("#'Contents'!A1", "Return to Contents")</f>
        <v>Return to Contents</v>
      </c>
    </row>
  </sheetData>
  <mergeCells count="5">
    <mergeCell ref="D5:E5"/>
    <mergeCell ref="G5:L5"/>
    <mergeCell ref="N5:V5"/>
    <mergeCell ref="X5:Y5"/>
    <mergeCell ref="D2:W2"/>
  </mergeCells>
  <pageMargins left="0.7" right="0.7" top="0.75" bottom="0.75" header="0.3" footer="0.3"/>
  <pageSetup paperSize="9" orientation="portrait" horizontalDpi="300" verticalDpi="300"/>
  <drawing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dimension ref="B2:Y18"/>
  <sheetViews>
    <sheetView showGridLines="0" topLeftCell="A7" workbookViewId="0">
      <pane xSplit="2" topLeftCell="C1" activePane="topRight" state="frozen"/>
      <selection pane="topRight" activeCell="B14" sqref="B14"/>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s>
  <sheetData>
    <row r="2" spans="2:25" ht="40" customHeight="1" x14ac:dyDescent="0.35">
      <c r="D2" s="30" t="s">
        <v>328</v>
      </c>
      <c r="E2" s="26"/>
      <c r="F2" s="26"/>
      <c r="G2" s="26"/>
      <c r="H2" s="26"/>
      <c r="I2" s="26"/>
      <c r="J2" s="26"/>
      <c r="K2" s="26"/>
      <c r="L2" s="26"/>
      <c r="M2" s="26"/>
      <c r="N2" s="26"/>
      <c r="O2" s="26"/>
      <c r="P2" s="26"/>
      <c r="Q2" s="26"/>
      <c r="R2" s="26"/>
      <c r="S2" s="26"/>
      <c r="T2" s="26"/>
      <c r="U2" s="26"/>
      <c r="V2" s="26"/>
      <c r="W2" s="26"/>
    </row>
    <row r="5" spans="2:25" ht="30" customHeight="1" x14ac:dyDescent="0.35">
      <c r="B5" s="15"/>
      <c r="C5" s="15"/>
      <c r="D5" s="29" t="s">
        <v>38</v>
      </c>
      <c r="E5" s="29"/>
      <c r="F5" s="15"/>
      <c r="G5" s="29" t="s">
        <v>39</v>
      </c>
      <c r="H5" s="29"/>
      <c r="I5" s="29"/>
      <c r="J5" s="29"/>
      <c r="K5" s="29"/>
      <c r="L5" s="29"/>
      <c r="M5" s="15"/>
      <c r="N5" s="29" t="s">
        <v>40</v>
      </c>
      <c r="O5" s="29"/>
      <c r="P5" s="29"/>
      <c r="Q5" s="29"/>
      <c r="R5" s="29"/>
      <c r="S5" s="29"/>
      <c r="T5" s="29"/>
      <c r="U5" s="29"/>
      <c r="V5" s="29"/>
      <c r="W5" s="15"/>
      <c r="X5" s="29" t="s">
        <v>41</v>
      </c>
      <c r="Y5" s="29"/>
    </row>
    <row r="6" spans="2:25" ht="29"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row>
    <row r="7" spans="2:25" ht="30" customHeight="1" x14ac:dyDescent="0.35">
      <c r="B7" s="10" t="s">
        <v>19</v>
      </c>
      <c r="C7" s="10">
        <v>3716</v>
      </c>
      <c r="D7" s="10">
        <v>1971</v>
      </c>
      <c r="E7" s="10">
        <v>1736</v>
      </c>
      <c r="F7" s="10"/>
      <c r="G7" s="10">
        <v>251</v>
      </c>
      <c r="H7" s="10">
        <v>847</v>
      </c>
      <c r="I7" s="10">
        <v>873</v>
      </c>
      <c r="J7" s="10">
        <v>919</v>
      </c>
      <c r="K7" s="10">
        <v>652</v>
      </c>
      <c r="L7" s="10">
        <v>174</v>
      </c>
      <c r="M7" s="10"/>
      <c r="N7" s="10">
        <v>101</v>
      </c>
      <c r="O7" s="10">
        <v>101</v>
      </c>
      <c r="P7" s="10">
        <v>508</v>
      </c>
      <c r="Q7" s="10">
        <v>536</v>
      </c>
      <c r="R7" s="10">
        <v>488</v>
      </c>
      <c r="S7" s="10">
        <v>546</v>
      </c>
      <c r="T7" s="10">
        <v>648</v>
      </c>
      <c r="U7" s="10">
        <v>573</v>
      </c>
      <c r="V7" s="10">
        <v>215</v>
      </c>
      <c r="W7" s="10"/>
      <c r="X7" s="10">
        <v>1783</v>
      </c>
      <c r="Y7" s="10">
        <v>1933</v>
      </c>
    </row>
    <row r="8" spans="2:25" ht="30" customHeight="1" x14ac:dyDescent="0.35">
      <c r="B8" s="11" t="s">
        <v>20</v>
      </c>
      <c r="C8" s="11">
        <v>3642</v>
      </c>
      <c r="D8" s="11">
        <v>1990</v>
      </c>
      <c r="E8" s="11">
        <v>1643</v>
      </c>
      <c r="F8" s="11"/>
      <c r="G8" s="11">
        <v>263</v>
      </c>
      <c r="H8" s="11">
        <v>804</v>
      </c>
      <c r="I8" s="11">
        <v>885</v>
      </c>
      <c r="J8" s="11">
        <v>875</v>
      </c>
      <c r="K8" s="11">
        <v>630</v>
      </c>
      <c r="L8" s="11">
        <v>185</v>
      </c>
      <c r="M8" s="11"/>
      <c r="N8" s="11">
        <v>106</v>
      </c>
      <c r="O8" s="11">
        <v>95</v>
      </c>
      <c r="P8" s="11">
        <v>509</v>
      </c>
      <c r="Q8" s="11">
        <v>549</v>
      </c>
      <c r="R8" s="11">
        <v>458</v>
      </c>
      <c r="S8" s="11">
        <v>556</v>
      </c>
      <c r="T8" s="11">
        <v>615</v>
      </c>
      <c r="U8" s="11">
        <v>531</v>
      </c>
      <c r="V8" s="11">
        <v>224</v>
      </c>
      <c r="W8" s="11"/>
      <c r="X8" s="11">
        <v>1638</v>
      </c>
      <c r="Y8" s="11">
        <v>2004</v>
      </c>
    </row>
    <row r="9" spans="2:25" ht="29" x14ac:dyDescent="0.35">
      <c r="B9" s="18" t="s">
        <v>321</v>
      </c>
      <c r="C9" s="17">
        <v>0.234149215298496</v>
      </c>
      <c r="D9" s="17">
        <v>0.232986701887267</v>
      </c>
      <c r="E9" s="17">
        <v>0.235089060581923</v>
      </c>
      <c r="F9" s="17"/>
      <c r="G9" s="17">
        <v>0.26762243497292398</v>
      </c>
      <c r="H9" s="17">
        <v>0.210097268262353</v>
      </c>
      <c r="I9" s="17">
        <v>0.24109001325018201</v>
      </c>
      <c r="J9" s="17">
        <v>0.21163059412420199</v>
      </c>
      <c r="K9" s="17">
        <v>0.24884139429524299</v>
      </c>
      <c r="L9" s="17">
        <v>0.314468754174061</v>
      </c>
      <c r="M9" s="17"/>
      <c r="N9" s="17">
        <v>0.13134491417109601</v>
      </c>
      <c r="O9" s="17">
        <v>0.22170498293403301</v>
      </c>
      <c r="P9" s="17">
        <v>0.22361892043252399</v>
      </c>
      <c r="Q9" s="17">
        <v>0.25959138693209599</v>
      </c>
      <c r="R9" s="17">
        <v>0.234522290326177</v>
      </c>
      <c r="S9" s="17">
        <v>0.27238104585301298</v>
      </c>
      <c r="T9" s="17">
        <v>0.17437689723071401</v>
      </c>
      <c r="U9" s="17">
        <v>0.27927253302760802</v>
      </c>
      <c r="V9" s="17">
        <v>0.21108887637408999</v>
      </c>
      <c r="W9" s="17"/>
      <c r="X9" s="17">
        <v>0.28215086396872102</v>
      </c>
      <c r="Y9" s="17">
        <v>0.19490268226639601</v>
      </c>
    </row>
    <row r="10" spans="2:25" x14ac:dyDescent="0.35">
      <c r="B10" s="18" t="s">
        <v>277</v>
      </c>
      <c r="C10" s="17">
        <v>0.38567957035178602</v>
      </c>
      <c r="D10" s="17">
        <v>0.40531404957244199</v>
      </c>
      <c r="E10" s="17">
        <v>0.36345585263961899</v>
      </c>
      <c r="F10" s="17"/>
      <c r="G10" s="17">
        <v>0.41083727267058601</v>
      </c>
      <c r="H10" s="17">
        <v>0.40251341617856001</v>
      </c>
      <c r="I10" s="17">
        <v>0.34737879382922299</v>
      </c>
      <c r="J10" s="17">
        <v>0.39358378291435397</v>
      </c>
      <c r="K10" s="17">
        <v>0.385312094188765</v>
      </c>
      <c r="L10" s="17">
        <v>0.42386402356643399</v>
      </c>
      <c r="M10" s="17"/>
      <c r="N10" s="17">
        <v>0.42233344140829199</v>
      </c>
      <c r="O10" s="17">
        <v>0.28566702491364399</v>
      </c>
      <c r="P10" s="17">
        <v>0.34109342864085601</v>
      </c>
      <c r="Q10" s="17">
        <v>0.33802062077348999</v>
      </c>
      <c r="R10" s="17">
        <v>0.455410896807799</v>
      </c>
      <c r="S10" s="17">
        <v>0.40786772620392298</v>
      </c>
      <c r="T10" s="17">
        <v>0.43704176539001199</v>
      </c>
      <c r="U10" s="17">
        <v>0.34732036401732602</v>
      </c>
      <c r="V10" s="17">
        <v>0.38074772085736502</v>
      </c>
      <c r="W10" s="17"/>
      <c r="X10" s="17">
        <v>0.38030244252343698</v>
      </c>
      <c r="Y10" s="17">
        <v>0.39007595320069499</v>
      </c>
    </row>
    <row r="11" spans="2:25" x14ac:dyDescent="0.35">
      <c r="B11" s="18" t="s">
        <v>322</v>
      </c>
      <c r="C11" s="17">
        <v>0.22118499600646599</v>
      </c>
      <c r="D11" s="17">
        <v>0.22433289688180599</v>
      </c>
      <c r="E11" s="17">
        <v>0.215972281196355</v>
      </c>
      <c r="F11" s="17"/>
      <c r="G11" s="17">
        <v>0.214023983507488</v>
      </c>
      <c r="H11" s="17">
        <v>0.24891669029365501</v>
      </c>
      <c r="I11" s="17">
        <v>0.25346222657105399</v>
      </c>
      <c r="J11" s="17">
        <v>0.20311797082244401</v>
      </c>
      <c r="K11" s="17">
        <v>0.19602624618564199</v>
      </c>
      <c r="L11" s="17">
        <v>0.12752409914407201</v>
      </c>
      <c r="M11" s="17"/>
      <c r="N11" s="17">
        <v>0.31851527810289998</v>
      </c>
      <c r="O11" s="17">
        <v>0.31854370454206299</v>
      </c>
      <c r="P11" s="17">
        <v>0.197954805213711</v>
      </c>
      <c r="Q11" s="17">
        <v>0.228110610774129</v>
      </c>
      <c r="R11" s="17">
        <v>0.188033318290034</v>
      </c>
      <c r="S11" s="17">
        <v>0.18867624972831901</v>
      </c>
      <c r="T11" s="17">
        <v>0.26560593461294701</v>
      </c>
      <c r="U11" s="17">
        <v>0.194851113682359</v>
      </c>
      <c r="V11" s="17">
        <v>0.25882285002157701</v>
      </c>
      <c r="W11" s="17"/>
      <c r="X11" s="17">
        <v>0.231744903290374</v>
      </c>
      <c r="Y11" s="17">
        <v>0.212551131097345</v>
      </c>
    </row>
    <row r="12" spans="2:25" x14ac:dyDescent="0.35">
      <c r="B12" s="18" t="s">
        <v>323</v>
      </c>
      <c r="C12" s="17">
        <v>0.156394226559607</v>
      </c>
      <c r="D12" s="17">
        <v>0.13473730067299999</v>
      </c>
      <c r="E12" s="17">
        <v>0.18292184746765799</v>
      </c>
      <c r="F12" s="17"/>
      <c r="G12" s="17">
        <v>9.8462492348297501E-2</v>
      </c>
      <c r="H12" s="17">
        <v>0.13751632453139501</v>
      </c>
      <c r="I12" s="17">
        <v>0.155776880502667</v>
      </c>
      <c r="J12" s="17">
        <v>0.189810735687685</v>
      </c>
      <c r="K12" s="17">
        <v>0.165638366894132</v>
      </c>
      <c r="L12" s="17">
        <v>0.134143123115433</v>
      </c>
      <c r="M12" s="17"/>
      <c r="N12" s="17">
        <v>0.127806366317712</v>
      </c>
      <c r="O12" s="17">
        <v>0.17408428761026001</v>
      </c>
      <c r="P12" s="17">
        <v>0.23278034994131899</v>
      </c>
      <c r="Q12" s="17">
        <v>0.166106505861498</v>
      </c>
      <c r="R12" s="17">
        <v>0.12203349457599</v>
      </c>
      <c r="S12" s="17">
        <v>0.12948787422196401</v>
      </c>
      <c r="T12" s="17">
        <v>0.122975402766327</v>
      </c>
      <c r="U12" s="17">
        <v>0.17710736392906601</v>
      </c>
      <c r="V12" s="17">
        <v>0.144930731039938</v>
      </c>
      <c r="W12" s="17"/>
      <c r="X12" s="17">
        <v>0.104184533528612</v>
      </c>
      <c r="Y12" s="17">
        <v>0.199081290418889</v>
      </c>
    </row>
    <row r="13" spans="2:25" x14ac:dyDescent="0.35">
      <c r="B13" s="18" t="s">
        <v>324</v>
      </c>
      <c r="C13" s="19">
        <v>2.59199178364503E-3</v>
      </c>
      <c r="D13" s="19">
        <v>2.6290509854851002E-3</v>
      </c>
      <c r="E13" s="19">
        <v>2.5609581144447999E-3</v>
      </c>
      <c r="F13" s="19"/>
      <c r="G13" s="19">
        <v>9.0538165007045795E-3</v>
      </c>
      <c r="H13" s="19">
        <v>9.5630073403659105E-4</v>
      </c>
      <c r="I13" s="19">
        <v>2.2920858468731902E-3</v>
      </c>
      <c r="J13" s="19">
        <v>1.8569164513152301E-3</v>
      </c>
      <c r="K13" s="19">
        <v>4.1818984362166998E-3</v>
      </c>
      <c r="L13" s="19">
        <v>0</v>
      </c>
      <c r="M13" s="19"/>
      <c r="N13" s="19">
        <v>0</v>
      </c>
      <c r="O13" s="19">
        <v>0</v>
      </c>
      <c r="P13" s="19">
        <v>4.5524957715892302E-3</v>
      </c>
      <c r="Q13" s="19">
        <v>8.1708756587863703E-3</v>
      </c>
      <c r="R13" s="19">
        <v>0</v>
      </c>
      <c r="S13" s="19">
        <v>1.58710399278129E-3</v>
      </c>
      <c r="T13" s="19">
        <v>0</v>
      </c>
      <c r="U13" s="19">
        <v>1.44862534364126E-3</v>
      </c>
      <c r="V13" s="19">
        <v>4.4098217070299298E-3</v>
      </c>
      <c r="W13" s="19"/>
      <c r="X13" s="19">
        <v>1.6172566888552899E-3</v>
      </c>
      <c r="Y13" s="19">
        <v>3.3889430166751098E-3</v>
      </c>
    </row>
    <row r="14" spans="2:25" x14ac:dyDescent="0.35">
      <c r="B14" s="16" t="s">
        <v>534</v>
      </c>
    </row>
    <row r="15" spans="2:25" x14ac:dyDescent="0.35">
      <c r="B15" t="s">
        <v>51</v>
      </c>
    </row>
    <row r="16" spans="2:25" x14ac:dyDescent="0.35">
      <c r="B16" t="s">
        <v>52</v>
      </c>
    </row>
    <row r="18" spans="2:2" x14ac:dyDescent="0.35">
      <c r="B18" s="8" t="str">
        <f>HYPERLINK("#'Contents'!A1", "Return to Contents")</f>
        <v>Return to Contents</v>
      </c>
    </row>
  </sheetData>
  <mergeCells count="5">
    <mergeCell ref="D5:E5"/>
    <mergeCell ref="G5:L5"/>
    <mergeCell ref="N5:V5"/>
    <mergeCell ref="X5:Y5"/>
    <mergeCell ref="D2:W2"/>
  </mergeCells>
  <pageMargins left="0.7" right="0.7" top="0.75" bottom="0.75" header="0.3" footer="0.3"/>
  <pageSetup paperSize="9" orientation="portrait" horizontalDpi="300" verticalDpi="300"/>
  <drawing r:id="rId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dimension ref="B2:Y18"/>
  <sheetViews>
    <sheetView showGridLines="0" topLeftCell="A7" workbookViewId="0">
      <pane xSplit="2" topLeftCell="C1" activePane="topRight" state="frozen"/>
      <selection pane="topRight" activeCell="B14" sqref="B14"/>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s>
  <sheetData>
    <row r="2" spans="2:25" ht="40" customHeight="1" x14ac:dyDescent="0.35">
      <c r="D2" s="30" t="s">
        <v>329</v>
      </c>
      <c r="E2" s="26"/>
      <c r="F2" s="26"/>
      <c r="G2" s="26"/>
      <c r="H2" s="26"/>
      <c r="I2" s="26"/>
      <c r="J2" s="26"/>
      <c r="K2" s="26"/>
      <c r="L2" s="26"/>
      <c r="M2" s="26"/>
      <c r="N2" s="26"/>
      <c r="O2" s="26"/>
      <c r="P2" s="26"/>
      <c r="Q2" s="26"/>
      <c r="R2" s="26"/>
      <c r="S2" s="26"/>
      <c r="T2" s="26"/>
      <c r="U2" s="26"/>
      <c r="V2" s="26"/>
      <c r="W2" s="26"/>
    </row>
    <row r="5" spans="2:25" ht="30" customHeight="1" x14ac:dyDescent="0.35">
      <c r="B5" s="15"/>
      <c r="C5" s="15"/>
      <c r="D5" s="29" t="s">
        <v>38</v>
      </c>
      <c r="E5" s="29"/>
      <c r="F5" s="15"/>
      <c r="G5" s="29" t="s">
        <v>39</v>
      </c>
      <c r="H5" s="29"/>
      <c r="I5" s="29"/>
      <c r="J5" s="29"/>
      <c r="K5" s="29"/>
      <c r="L5" s="29"/>
      <c r="M5" s="15"/>
      <c r="N5" s="29" t="s">
        <v>40</v>
      </c>
      <c r="O5" s="29"/>
      <c r="P5" s="29"/>
      <c r="Q5" s="29"/>
      <c r="R5" s="29"/>
      <c r="S5" s="29"/>
      <c r="T5" s="29"/>
      <c r="U5" s="29"/>
      <c r="V5" s="29"/>
      <c r="W5" s="15"/>
      <c r="X5" s="29" t="s">
        <v>41</v>
      </c>
      <c r="Y5" s="29"/>
    </row>
    <row r="6" spans="2:25" ht="29"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row>
    <row r="7" spans="2:25" ht="30" customHeight="1" x14ac:dyDescent="0.35">
      <c r="B7" s="10" t="s">
        <v>19</v>
      </c>
      <c r="C7" s="10">
        <v>3716</v>
      </c>
      <c r="D7" s="10">
        <v>1971</v>
      </c>
      <c r="E7" s="10">
        <v>1736</v>
      </c>
      <c r="F7" s="10"/>
      <c r="G7" s="10">
        <v>251</v>
      </c>
      <c r="H7" s="10">
        <v>847</v>
      </c>
      <c r="I7" s="10">
        <v>873</v>
      </c>
      <c r="J7" s="10">
        <v>919</v>
      </c>
      <c r="K7" s="10">
        <v>652</v>
      </c>
      <c r="L7" s="10">
        <v>174</v>
      </c>
      <c r="M7" s="10"/>
      <c r="N7" s="10">
        <v>101</v>
      </c>
      <c r="O7" s="10">
        <v>101</v>
      </c>
      <c r="P7" s="10">
        <v>508</v>
      </c>
      <c r="Q7" s="10">
        <v>536</v>
      </c>
      <c r="R7" s="10">
        <v>488</v>
      </c>
      <c r="S7" s="10">
        <v>546</v>
      </c>
      <c r="T7" s="10">
        <v>648</v>
      </c>
      <c r="U7" s="10">
        <v>573</v>
      </c>
      <c r="V7" s="10">
        <v>215</v>
      </c>
      <c r="W7" s="10"/>
      <c r="X7" s="10">
        <v>1783</v>
      </c>
      <c r="Y7" s="10">
        <v>1933</v>
      </c>
    </row>
    <row r="8" spans="2:25" ht="30" customHeight="1" x14ac:dyDescent="0.35">
      <c r="B8" s="11" t="s">
        <v>20</v>
      </c>
      <c r="C8" s="11">
        <v>3642</v>
      </c>
      <c r="D8" s="11">
        <v>1990</v>
      </c>
      <c r="E8" s="11">
        <v>1643</v>
      </c>
      <c r="F8" s="11"/>
      <c r="G8" s="11">
        <v>263</v>
      </c>
      <c r="H8" s="11">
        <v>804</v>
      </c>
      <c r="I8" s="11">
        <v>885</v>
      </c>
      <c r="J8" s="11">
        <v>875</v>
      </c>
      <c r="K8" s="11">
        <v>630</v>
      </c>
      <c r="L8" s="11">
        <v>185</v>
      </c>
      <c r="M8" s="11"/>
      <c r="N8" s="11">
        <v>106</v>
      </c>
      <c r="O8" s="11">
        <v>95</v>
      </c>
      <c r="P8" s="11">
        <v>509</v>
      </c>
      <c r="Q8" s="11">
        <v>549</v>
      </c>
      <c r="R8" s="11">
        <v>458</v>
      </c>
      <c r="S8" s="11">
        <v>556</v>
      </c>
      <c r="T8" s="11">
        <v>615</v>
      </c>
      <c r="U8" s="11">
        <v>531</v>
      </c>
      <c r="V8" s="11">
        <v>224</v>
      </c>
      <c r="W8" s="11"/>
      <c r="X8" s="11">
        <v>1638</v>
      </c>
      <c r="Y8" s="11">
        <v>2004</v>
      </c>
    </row>
    <row r="9" spans="2:25" ht="29" x14ac:dyDescent="0.35">
      <c r="B9" s="18" t="s">
        <v>321</v>
      </c>
      <c r="C9" s="17">
        <v>0.104670559907742</v>
      </c>
      <c r="D9" s="17">
        <v>0.102661795916966</v>
      </c>
      <c r="E9" s="17">
        <v>0.10653339215785899</v>
      </c>
      <c r="F9" s="17"/>
      <c r="G9" s="17">
        <v>0.17314738183109701</v>
      </c>
      <c r="H9" s="17">
        <v>0.138060269698906</v>
      </c>
      <c r="I9" s="17">
        <v>0.102379163979279</v>
      </c>
      <c r="J9" s="17">
        <v>8.3053095702683696E-2</v>
      </c>
      <c r="K9" s="17">
        <v>6.74942638227643E-2</v>
      </c>
      <c r="L9" s="17">
        <v>0.102052052952479</v>
      </c>
      <c r="M9" s="17"/>
      <c r="N9" s="17">
        <v>8.1318555475758905E-2</v>
      </c>
      <c r="O9" s="17">
        <v>9.0560073762204693E-2</v>
      </c>
      <c r="P9" s="17">
        <v>9.2283601425478604E-2</v>
      </c>
      <c r="Q9" s="17">
        <v>8.2976065261579399E-2</v>
      </c>
      <c r="R9" s="17">
        <v>0.10688858201179501</v>
      </c>
      <c r="S9" s="17">
        <v>0.10057103193769699</v>
      </c>
      <c r="T9" s="17">
        <v>9.7567417930623804E-2</v>
      </c>
      <c r="U9" s="17">
        <v>0.15358483475978901</v>
      </c>
      <c r="V9" s="17">
        <v>0.112216521447737</v>
      </c>
      <c r="W9" s="17"/>
      <c r="X9" s="17">
        <v>0.12738239333922499</v>
      </c>
      <c r="Y9" s="17">
        <v>8.6101182695054901E-2</v>
      </c>
    </row>
    <row r="10" spans="2:25" x14ac:dyDescent="0.35">
      <c r="B10" s="18" t="s">
        <v>277</v>
      </c>
      <c r="C10" s="17">
        <v>0.237091265846188</v>
      </c>
      <c r="D10" s="17">
        <v>0.238195800690544</v>
      </c>
      <c r="E10" s="17">
        <v>0.23702144461079799</v>
      </c>
      <c r="F10" s="17"/>
      <c r="G10" s="17">
        <v>0.27241812690204198</v>
      </c>
      <c r="H10" s="17">
        <v>0.25730479484623597</v>
      </c>
      <c r="I10" s="17">
        <v>0.25397437425286001</v>
      </c>
      <c r="J10" s="17">
        <v>0.22234551025285701</v>
      </c>
      <c r="K10" s="17">
        <v>0.18560632982054101</v>
      </c>
      <c r="L10" s="17">
        <v>0.26342825543325699</v>
      </c>
      <c r="M10" s="17"/>
      <c r="N10" s="17">
        <v>0.261474262354006</v>
      </c>
      <c r="O10" s="17">
        <v>0.180916383053183</v>
      </c>
      <c r="P10" s="17">
        <v>0.24621257164504601</v>
      </c>
      <c r="Q10" s="17">
        <v>0.166128928860521</v>
      </c>
      <c r="R10" s="17">
        <v>0.249244558909609</v>
      </c>
      <c r="S10" s="17">
        <v>0.24078630135290699</v>
      </c>
      <c r="T10" s="17">
        <v>0.27803985337783399</v>
      </c>
      <c r="U10" s="17">
        <v>0.24896226892825399</v>
      </c>
      <c r="V10" s="17">
        <v>0.22791397704087801</v>
      </c>
      <c r="W10" s="17"/>
      <c r="X10" s="17">
        <v>0.26822624926869798</v>
      </c>
      <c r="Y10" s="17">
        <v>0.211635053628556</v>
      </c>
    </row>
    <row r="11" spans="2:25" x14ac:dyDescent="0.35">
      <c r="B11" s="18" t="s">
        <v>322</v>
      </c>
      <c r="C11" s="17">
        <v>0.33280119118559498</v>
      </c>
      <c r="D11" s="17">
        <v>0.34387544743849802</v>
      </c>
      <c r="E11" s="17">
        <v>0.31867911053838999</v>
      </c>
      <c r="F11" s="17"/>
      <c r="G11" s="17">
        <v>0.323785547114877</v>
      </c>
      <c r="H11" s="17">
        <v>0.31249973874100501</v>
      </c>
      <c r="I11" s="17">
        <v>0.32171316533759398</v>
      </c>
      <c r="J11" s="17">
        <v>0.33630530048583801</v>
      </c>
      <c r="K11" s="17">
        <v>0.365906930075799</v>
      </c>
      <c r="L11" s="17">
        <v>0.35756940725866199</v>
      </c>
      <c r="M11" s="17"/>
      <c r="N11" s="17">
        <v>0.30642193702363202</v>
      </c>
      <c r="O11" s="17">
        <v>0.36678485864002902</v>
      </c>
      <c r="P11" s="17">
        <v>0.27117534608112498</v>
      </c>
      <c r="Q11" s="17">
        <v>0.35131221159012299</v>
      </c>
      <c r="R11" s="17">
        <v>0.40021117597675698</v>
      </c>
      <c r="S11" s="17">
        <v>0.34529818480999203</v>
      </c>
      <c r="T11" s="17">
        <v>0.35605677036815497</v>
      </c>
      <c r="U11" s="17">
        <v>0.27126674708209297</v>
      </c>
      <c r="V11" s="17">
        <v>0.33844534176283197</v>
      </c>
      <c r="W11" s="17"/>
      <c r="X11" s="17">
        <v>0.33901229660929499</v>
      </c>
      <c r="Y11" s="17">
        <v>0.32772294156438397</v>
      </c>
    </row>
    <row r="12" spans="2:25" x14ac:dyDescent="0.35">
      <c r="B12" s="18" t="s">
        <v>323</v>
      </c>
      <c r="C12" s="17">
        <v>0.321405028281115</v>
      </c>
      <c r="D12" s="17">
        <v>0.31150989124415801</v>
      </c>
      <c r="E12" s="17">
        <v>0.33337947210699598</v>
      </c>
      <c r="F12" s="17"/>
      <c r="G12" s="17">
        <v>0.21234102624888601</v>
      </c>
      <c r="H12" s="17">
        <v>0.28933203067586999</v>
      </c>
      <c r="I12" s="17">
        <v>0.31623935492760202</v>
      </c>
      <c r="J12" s="17">
        <v>0.35735704342318703</v>
      </c>
      <c r="K12" s="17">
        <v>0.37821084509768499</v>
      </c>
      <c r="L12" s="17">
        <v>0.27695028435560198</v>
      </c>
      <c r="M12" s="17"/>
      <c r="N12" s="17">
        <v>0.342508172394137</v>
      </c>
      <c r="O12" s="17">
        <v>0.36173868454458302</v>
      </c>
      <c r="P12" s="17">
        <v>0.38377820204653401</v>
      </c>
      <c r="Q12" s="17">
        <v>0.38660382459480802</v>
      </c>
      <c r="R12" s="17">
        <v>0.24365568310183799</v>
      </c>
      <c r="S12" s="17">
        <v>0.31175767896046203</v>
      </c>
      <c r="T12" s="17">
        <v>0.26833595832338702</v>
      </c>
      <c r="U12" s="17">
        <v>0.32339358801563201</v>
      </c>
      <c r="V12" s="17">
        <v>0.31701433804152401</v>
      </c>
      <c r="W12" s="17"/>
      <c r="X12" s="17">
        <v>0.26378727913769601</v>
      </c>
      <c r="Y12" s="17">
        <v>0.368513762202479</v>
      </c>
    </row>
    <row r="13" spans="2:25" x14ac:dyDescent="0.35">
      <c r="B13" s="18" t="s">
        <v>324</v>
      </c>
      <c r="C13" s="19">
        <v>4.0319547793607902E-3</v>
      </c>
      <c r="D13" s="19">
        <v>3.7570647098345402E-3</v>
      </c>
      <c r="E13" s="19">
        <v>4.3865805859569004E-3</v>
      </c>
      <c r="F13" s="19"/>
      <c r="G13" s="19">
        <v>1.8307917903097898E-2</v>
      </c>
      <c r="H13" s="19">
        <v>2.8031660379819901E-3</v>
      </c>
      <c r="I13" s="19">
        <v>5.69394150266519E-3</v>
      </c>
      <c r="J13" s="19">
        <v>9.3905013543472201E-4</v>
      </c>
      <c r="K13" s="19">
        <v>2.7816311832101902E-3</v>
      </c>
      <c r="L13" s="19">
        <v>0</v>
      </c>
      <c r="M13" s="19"/>
      <c r="N13" s="19">
        <v>8.2770727524654492E-3</v>
      </c>
      <c r="O13" s="19">
        <v>0</v>
      </c>
      <c r="P13" s="19">
        <v>6.5502788018154002E-3</v>
      </c>
      <c r="Q13" s="19">
        <v>1.29789696929688E-2</v>
      </c>
      <c r="R13" s="19">
        <v>0</v>
      </c>
      <c r="S13" s="19">
        <v>1.5868029389419301E-3</v>
      </c>
      <c r="T13" s="19">
        <v>0</v>
      </c>
      <c r="U13" s="19">
        <v>2.7925612142326701E-3</v>
      </c>
      <c r="V13" s="19">
        <v>4.4098217070299298E-3</v>
      </c>
      <c r="W13" s="19"/>
      <c r="X13" s="19">
        <v>1.5917816450850999E-3</v>
      </c>
      <c r="Y13" s="19">
        <v>6.0270599095268197E-3</v>
      </c>
    </row>
    <row r="14" spans="2:25" x14ac:dyDescent="0.35">
      <c r="B14" s="16" t="s">
        <v>534</v>
      </c>
    </row>
    <row r="15" spans="2:25" x14ac:dyDescent="0.35">
      <c r="B15" t="s">
        <v>51</v>
      </c>
    </row>
    <row r="16" spans="2:25" x14ac:dyDescent="0.35">
      <c r="B16" t="s">
        <v>52</v>
      </c>
    </row>
    <row r="18" spans="2:2" x14ac:dyDescent="0.35">
      <c r="B18" s="8" t="str">
        <f>HYPERLINK("#'Contents'!A1", "Return to Contents")</f>
        <v>Return to Contents</v>
      </c>
    </row>
  </sheetData>
  <mergeCells count="5">
    <mergeCell ref="D5:E5"/>
    <mergeCell ref="G5:L5"/>
    <mergeCell ref="N5:V5"/>
    <mergeCell ref="X5:Y5"/>
    <mergeCell ref="D2:W2"/>
  </mergeCells>
  <pageMargins left="0.7" right="0.7" top="0.75" bottom="0.75" header="0.3" footer="0.3"/>
  <pageSetup paperSize="9" orientation="portrait" horizontalDpi="300" verticalDpi="300"/>
  <drawing r:id="rId1"/>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dimension ref="B2:Y18"/>
  <sheetViews>
    <sheetView showGridLines="0" topLeftCell="A7" workbookViewId="0">
      <pane xSplit="2" topLeftCell="C1" activePane="topRight" state="frozen"/>
      <selection pane="topRight" activeCell="B14" sqref="B14"/>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s>
  <sheetData>
    <row r="2" spans="2:25" ht="40" customHeight="1" x14ac:dyDescent="0.35">
      <c r="D2" s="30" t="s">
        <v>330</v>
      </c>
      <c r="E2" s="26"/>
      <c r="F2" s="26"/>
      <c r="G2" s="26"/>
      <c r="H2" s="26"/>
      <c r="I2" s="26"/>
      <c r="J2" s="26"/>
      <c r="K2" s="26"/>
      <c r="L2" s="26"/>
      <c r="M2" s="26"/>
      <c r="N2" s="26"/>
      <c r="O2" s="26"/>
      <c r="P2" s="26"/>
      <c r="Q2" s="26"/>
      <c r="R2" s="26"/>
      <c r="S2" s="26"/>
      <c r="T2" s="26"/>
      <c r="U2" s="26"/>
      <c r="V2" s="26"/>
      <c r="W2" s="26"/>
    </row>
    <row r="5" spans="2:25" ht="30" customHeight="1" x14ac:dyDescent="0.35">
      <c r="B5" s="15"/>
      <c r="C5" s="15"/>
      <c r="D5" s="29" t="s">
        <v>38</v>
      </c>
      <c r="E5" s="29"/>
      <c r="F5" s="15"/>
      <c r="G5" s="29" t="s">
        <v>39</v>
      </c>
      <c r="H5" s="29"/>
      <c r="I5" s="29"/>
      <c r="J5" s="29"/>
      <c r="K5" s="29"/>
      <c r="L5" s="29"/>
      <c r="M5" s="15"/>
      <c r="N5" s="29" t="s">
        <v>40</v>
      </c>
      <c r="O5" s="29"/>
      <c r="P5" s="29"/>
      <c r="Q5" s="29"/>
      <c r="R5" s="29"/>
      <c r="S5" s="29"/>
      <c r="T5" s="29"/>
      <c r="U5" s="29"/>
      <c r="V5" s="29"/>
      <c r="W5" s="15"/>
      <c r="X5" s="29" t="s">
        <v>41</v>
      </c>
      <c r="Y5" s="29"/>
    </row>
    <row r="6" spans="2:25" ht="29"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row>
    <row r="7" spans="2:25" ht="30" customHeight="1" x14ac:dyDescent="0.35">
      <c r="B7" s="10" t="s">
        <v>19</v>
      </c>
      <c r="C7" s="10">
        <v>3716</v>
      </c>
      <c r="D7" s="10">
        <v>1971</v>
      </c>
      <c r="E7" s="10">
        <v>1736</v>
      </c>
      <c r="F7" s="10"/>
      <c r="G7" s="10">
        <v>251</v>
      </c>
      <c r="H7" s="10">
        <v>847</v>
      </c>
      <c r="I7" s="10">
        <v>873</v>
      </c>
      <c r="J7" s="10">
        <v>919</v>
      </c>
      <c r="K7" s="10">
        <v>652</v>
      </c>
      <c r="L7" s="10">
        <v>174</v>
      </c>
      <c r="M7" s="10"/>
      <c r="N7" s="10">
        <v>101</v>
      </c>
      <c r="O7" s="10">
        <v>101</v>
      </c>
      <c r="P7" s="10">
        <v>508</v>
      </c>
      <c r="Q7" s="10">
        <v>536</v>
      </c>
      <c r="R7" s="10">
        <v>488</v>
      </c>
      <c r="S7" s="10">
        <v>546</v>
      </c>
      <c r="T7" s="10">
        <v>648</v>
      </c>
      <c r="U7" s="10">
        <v>573</v>
      </c>
      <c r="V7" s="10">
        <v>215</v>
      </c>
      <c r="W7" s="10"/>
      <c r="X7" s="10">
        <v>1783</v>
      </c>
      <c r="Y7" s="10">
        <v>1933</v>
      </c>
    </row>
    <row r="8" spans="2:25" ht="30" customHeight="1" x14ac:dyDescent="0.35">
      <c r="B8" s="11" t="s">
        <v>20</v>
      </c>
      <c r="C8" s="11">
        <v>3642</v>
      </c>
      <c r="D8" s="11">
        <v>1990</v>
      </c>
      <c r="E8" s="11">
        <v>1643</v>
      </c>
      <c r="F8" s="11"/>
      <c r="G8" s="11">
        <v>263</v>
      </c>
      <c r="H8" s="11">
        <v>804</v>
      </c>
      <c r="I8" s="11">
        <v>885</v>
      </c>
      <c r="J8" s="11">
        <v>875</v>
      </c>
      <c r="K8" s="11">
        <v>630</v>
      </c>
      <c r="L8" s="11">
        <v>185</v>
      </c>
      <c r="M8" s="11"/>
      <c r="N8" s="11">
        <v>106</v>
      </c>
      <c r="O8" s="11">
        <v>95</v>
      </c>
      <c r="P8" s="11">
        <v>509</v>
      </c>
      <c r="Q8" s="11">
        <v>549</v>
      </c>
      <c r="R8" s="11">
        <v>458</v>
      </c>
      <c r="S8" s="11">
        <v>556</v>
      </c>
      <c r="T8" s="11">
        <v>615</v>
      </c>
      <c r="U8" s="11">
        <v>531</v>
      </c>
      <c r="V8" s="11">
        <v>224</v>
      </c>
      <c r="W8" s="11"/>
      <c r="X8" s="11">
        <v>1638</v>
      </c>
      <c r="Y8" s="11">
        <v>2004</v>
      </c>
    </row>
    <row r="9" spans="2:25" ht="29" x14ac:dyDescent="0.35">
      <c r="B9" s="18" t="s">
        <v>321</v>
      </c>
      <c r="C9" s="17">
        <v>0.14496084078206301</v>
      </c>
      <c r="D9" s="17">
        <v>0.160553043930491</v>
      </c>
      <c r="E9" s="17">
        <v>0.12571400445151701</v>
      </c>
      <c r="F9" s="17"/>
      <c r="G9" s="17">
        <v>0.12550339475609501</v>
      </c>
      <c r="H9" s="17">
        <v>0.15505729962501599</v>
      </c>
      <c r="I9" s="17">
        <v>0.175622143663729</v>
      </c>
      <c r="J9" s="17">
        <v>0.120743444819156</v>
      </c>
      <c r="K9" s="17">
        <v>0.128378213930711</v>
      </c>
      <c r="L9" s="17">
        <v>0.153193782726463</v>
      </c>
      <c r="M9" s="17"/>
      <c r="N9" s="17">
        <v>0.18820354659411001</v>
      </c>
      <c r="O9" s="17">
        <v>0.153951336223384</v>
      </c>
      <c r="P9" s="17">
        <v>0.16195532757773001</v>
      </c>
      <c r="Q9" s="17">
        <v>0.145006330298421</v>
      </c>
      <c r="R9" s="17">
        <v>9.5053242944535807E-2</v>
      </c>
      <c r="S9" s="17">
        <v>0.18540072476293001</v>
      </c>
      <c r="T9" s="17">
        <v>8.6071798615521805E-2</v>
      </c>
      <c r="U9" s="17">
        <v>0.182193379407253</v>
      </c>
      <c r="V9" s="17">
        <v>0.15725322291261701</v>
      </c>
      <c r="W9" s="17"/>
      <c r="X9" s="17">
        <v>0.21291053011663499</v>
      </c>
      <c r="Y9" s="17">
        <v>8.9404629675415598E-2</v>
      </c>
    </row>
    <row r="10" spans="2:25" x14ac:dyDescent="0.35">
      <c r="B10" s="18" t="s">
        <v>277</v>
      </c>
      <c r="C10" s="17">
        <v>0.30757724116058599</v>
      </c>
      <c r="D10" s="17">
        <v>0.31982591057846799</v>
      </c>
      <c r="E10" s="17">
        <v>0.293791974575771</v>
      </c>
      <c r="F10" s="17"/>
      <c r="G10" s="17">
        <v>0.33337796310721601</v>
      </c>
      <c r="H10" s="17">
        <v>0.32628603563553898</v>
      </c>
      <c r="I10" s="17">
        <v>0.31832193414055698</v>
      </c>
      <c r="J10" s="17">
        <v>0.30553969904137102</v>
      </c>
      <c r="K10" s="17">
        <v>0.27126677026234203</v>
      </c>
      <c r="L10" s="17">
        <v>0.27145212513366501</v>
      </c>
      <c r="M10" s="17"/>
      <c r="N10" s="17">
        <v>0.36431961611923902</v>
      </c>
      <c r="O10" s="17">
        <v>0.32361360158281099</v>
      </c>
      <c r="P10" s="17">
        <v>0.25383011256985499</v>
      </c>
      <c r="Q10" s="17">
        <v>0.30794686225441398</v>
      </c>
      <c r="R10" s="17">
        <v>0.30575937615961202</v>
      </c>
      <c r="S10" s="17">
        <v>0.33286064027594398</v>
      </c>
      <c r="T10" s="17">
        <v>0.31501909656334098</v>
      </c>
      <c r="U10" s="17">
        <v>0.30172218966009601</v>
      </c>
      <c r="V10" s="17">
        <v>0.32955340141480499</v>
      </c>
      <c r="W10" s="17"/>
      <c r="X10" s="17">
        <v>0.38909731714925899</v>
      </c>
      <c r="Y10" s="17">
        <v>0.24092577306104901</v>
      </c>
    </row>
    <row r="11" spans="2:25" x14ac:dyDescent="0.35">
      <c r="B11" s="18" t="s">
        <v>322</v>
      </c>
      <c r="C11" s="17">
        <v>0.274569049230728</v>
      </c>
      <c r="D11" s="17">
        <v>0.283077942165393</v>
      </c>
      <c r="E11" s="17">
        <v>0.26320855193070603</v>
      </c>
      <c r="F11" s="17"/>
      <c r="G11" s="17">
        <v>0.29468872151098702</v>
      </c>
      <c r="H11" s="17">
        <v>0.277945254181233</v>
      </c>
      <c r="I11" s="17">
        <v>0.246331875419386</v>
      </c>
      <c r="J11" s="17">
        <v>0.279647106593787</v>
      </c>
      <c r="K11" s="17">
        <v>0.29774932536586701</v>
      </c>
      <c r="L11" s="17">
        <v>0.26334649651068598</v>
      </c>
      <c r="M11" s="17"/>
      <c r="N11" s="17">
        <v>0.23725837228979901</v>
      </c>
      <c r="O11" s="17">
        <v>0.213986656604405</v>
      </c>
      <c r="P11" s="17">
        <v>0.28497570334801198</v>
      </c>
      <c r="Q11" s="17">
        <v>0.24736719798427401</v>
      </c>
      <c r="R11" s="17">
        <v>0.35839940631915101</v>
      </c>
      <c r="S11" s="17">
        <v>0.239890203776746</v>
      </c>
      <c r="T11" s="17">
        <v>0.30746440289433802</v>
      </c>
      <c r="U11" s="17">
        <v>0.26628500197576599</v>
      </c>
      <c r="V11" s="17">
        <v>0.20466007074116199</v>
      </c>
      <c r="W11" s="17"/>
      <c r="X11" s="17">
        <v>0.24016907885466399</v>
      </c>
      <c r="Y11" s="17">
        <v>0.30269474097399801</v>
      </c>
    </row>
    <row r="12" spans="2:25" x14ac:dyDescent="0.35">
      <c r="B12" s="18" t="s">
        <v>323</v>
      </c>
      <c r="C12" s="17">
        <v>0.26868125047437103</v>
      </c>
      <c r="D12" s="17">
        <v>0.232614894377774</v>
      </c>
      <c r="E12" s="17">
        <v>0.312707941720475</v>
      </c>
      <c r="F12" s="17"/>
      <c r="G12" s="17">
        <v>0.23278793887740301</v>
      </c>
      <c r="H12" s="17">
        <v>0.24071141055821199</v>
      </c>
      <c r="I12" s="17">
        <v>0.255170714903035</v>
      </c>
      <c r="J12" s="17">
        <v>0.29103481833635703</v>
      </c>
      <c r="K12" s="17">
        <v>0.29457082084457697</v>
      </c>
      <c r="L12" s="17">
        <v>0.31200759562918601</v>
      </c>
      <c r="M12" s="17"/>
      <c r="N12" s="17">
        <v>0.19933150903164801</v>
      </c>
      <c r="O12" s="17">
        <v>0.30844840558940001</v>
      </c>
      <c r="P12" s="17">
        <v>0.29075543193896303</v>
      </c>
      <c r="Q12" s="17">
        <v>0.286040630589321</v>
      </c>
      <c r="R12" s="17">
        <v>0.24078797457670101</v>
      </c>
      <c r="S12" s="17">
        <v>0.24184843118438001</v>
      </c>
      <c r="T12" s="17">
        <v>0.291444701926798</v>
      </c>
      <c r="U12" s="17">
        <v>0.24764621040802601</v>
      </c>
      <c r="V12" s="17">
        <v>0.30299060751302398</v>
      </c>
      <c r="W12" s="17"/>
      <c r="X12" s="17">
        <v>0.15721357576289899</v>
      </c>
      <c r="Y12" s="17">
        <v>0.359818115535607</v>
      </c>
    </row>
    <row r="13" spans="2:25" x14ac:dyDescent="0.35">
      <c r="B13" s="18" t="s">
        <v>324</v>
      </c>
      <c r="C13" s="19">
        <v>4.2116183522506899E-3</v>
      </c>
      <c r="D13" s="19">
        <v>3.9282089478741003E-3</v>
      </c>
      <c r="E13" s="19">
        <v>4.5775273215313697E-3</v>
      </c>
      <c r="F13" s="19"/>
      <c r="G13" s="19">
        <v>1.3641981748297999E-2</v>
      </c>
      <c r="H13" s="19">
        <v>0</v>
      </c>
      <c r="I13" s="19">
        <v>4.5533318732921503E-3</v>
      </c>
      <c r="J13" s="19">
        <v>3.0349312093290799E-3</v>
      </c>
      <c r="K13" s="19">
        <v>8.0348695965019104E-3</v>
      </c>
      <c r="L13" s="19">
        <v>0</v>
      </c>
      <c r="M13" s="19"/>
      <c r="N13" s="19">
        <v>1.0886955965202999E-2</v>
      </c>
      <c r="O13" s="19">
        <v>0</v>
      </c>
      <c r="P13" s="19">
        <v>8.4834245654389403E-3</v>
      </c>
      <c r="Q13" s="19">
        <v>1.3638978873569199E-2</v>
      </c>
      <c r="R13" s="19">
        <v>0</v>
      </c>
      <c r="S13" s="19">
        <v>0</v>
      </c>
      <c r="T13" s="19">
        <v>0</v>
      </c>
      <c r="U13" s="19">
        <v>2.15321854885832E-3</v>
      </c>
      <c r="V13" s="19">
        <v>5.5426974183923703E-3</v>
      </c>
      <c r="W13" s="19"/>
      <c r="X13" s="19">
        <v>6.0949811654432398E-4</v>
      </c>
      <c r="Y13" s="19">
        <v>7.15674075393051E-3</v>
      </c>
    </row>
    <row r="14" spans="2:25" x14ac:dyDescent="0.35">
      <c r="B14" s="16" t="s">
        <v>534</v>
      </c>
    </row>
    <row r="15" spans="2:25" x14ac:dyDescent="0.35">
      <c r="B15" t="s">
        <v>51</v>
      </c>
    </row>
    <row r="16" spans="2:25" x14ac:dyDescent="0.35">
      <c r="B16" t="s">
        <v>52</v>
      </c>
    </row>
    <row r="18" spans="2:2" x14ac:dyDescent="0.35">
      <c r="B18" s="8" t="str">
        <f>HYPERLINK("#'Contents'!A1", "Return to Contents")</f>
        <v>Return to Contents</v>
      </c>
    </row>
  </sheetData>
  <mergeCells count="5">
    <mergeCell ref="D5:E5"/>
    <mergeCell ref="G5:L5"/>
    <mergeCell ref="N5:V5"/>
    <mergeCell ref="X5:Y5"/>
    <mergeCell ref="D2:W2"/>
  </mergeCells>
  <pageMargins left="0.7" right="0.7" top="0.75" bottom="0.75" header="0.3" footer="0.3"/>
  <pageSetup paperSize="9" orientation="portrait" horizontalDpi="300" verticalDpi="300"/>
  <drawing r:id="rId1"/>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dimension ref="B2:Y18"/>
  <sheetViews>
    <sheetView showGridLines="0" topLeftCell="A7" workbookViewId="0">
      <pane xSplit="2" topLeftCell="C1" activePane="topRight" state="frozen"/>
      <selection pane="topRight" activeCell="B14" sqref="B14"/>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s>
  <sheetData>
    <row r="2" spans="2:25" ht="40" customHeight="1" x14ac:dyDescent="0.35">
      <c r="D2" s="30" t="s">
        <v>331</v>
      </c>
      <c r="E2" s="26"/>
      <c r="F2" s="26"/>
      <c r="G2" s="26"/>
      <c r="H2" s="26"/>
      <c r="I2" s="26"/>
      <c r="J2" s="26"/>
      <c r="K2" s="26"/>
      <c r="L2" s="26"/>
      <c r="M2" s="26"/>
      <c r="N2" s="26"/>
      <c r="O2" s="26"/>
      <c r="P2" s="26"/>
      <c r="Q2" s="26"/>
      <c r="R2" s="26"/>
      <c r="S2" s="26"/>
      <c r="T2" s="26"/>
      <c r="U2" s="26"/>
      <c r="V2" s="26"/>
      <c r="W2" s="26"/>
    </row>
    <row r="5" spans="2:25" ht="30" customHeight="1" x14ac:dyDescent="0.35">
      <c r="B5" s="15"/>
      <c r="C5" s="15"/>
      <c r="D5" s="29" t="s">
        <v>38</v>
      </c>
      <c r="E5" s="29"/>
      <c r="F5" s="15"/>
      <c r="G5" s="29" t="s">
        <v>39</v>
      </c>
      <c r="H5" s="29"/>
      <c r="I5" s="29"/>
      <c r="J5" s="29"/>
      <c r="K5" s="29"/>
      <c r="L5" s="29"/>
      <c r="M5" s="15"/>
      <c r="N5" s="29" t="s">
        <v>40</v>
      </c>
      <c r="O5" s="29"/>
      <c r="P5" s="29"/>
      <c r="Q5" s="29"/>
      <c r="R5" s="29"/>
      <c r="S5" s="29"/>
      <c r="T5" s="29"/>
      <c r="U5" s="29"/>
      <c r="V5" s="29"/>
      <c r="W5" s="15"/>
      <c r="X5" s="29" t="s">
        <v>41</v>
      </c>
      <c r="Y5" s="29"/>
    </row>
    <row r="6" spans="2:25" ht="29"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row>
    <row r="7" spans="2:25" ht="30" customHeight="1" x14ac:dyDescent="0.35">
      <c r="B7" s="10" t="s">
        <v>19</v>
      </c>
      <c r="C7" s="10">
        <v>3716</v>
      </c>
      <c r="D7" s="10">
        <v>1971</v>
      </c>
      <c r="E7" s="10">
        <v>1736</v>
      </c>
      <c r="F7" s="10"/>
      <c r="G7" s="10">
        <v>251</v>
      </c>
      <c r="H7" s="10">
        <v>847</v>
      </c>
      <c r="I7" s="10">
        <v>873</v>
      </c>
      <c r="J7" s="10">
        <v>919</v>
      </c>
      <c r="K7" s="10">
        <v>652</v>
      </c>
      <c r="L7" s="10">
        <v>174</v>
      </c>
      <c r="M7" s="10"/>
      <c r="N7" s="10">
        <v>101</v>
      </c>
      <c r="O7" s="10">
        <v>101</v>
      </c>
      <c r="P7" s="10">
        <v>508</v>
      </c>
      <c r="Q7" s="10">
        <v>536</v>
      </c>
      <c r="R7" s="10">
        <v>488</v>
      </c>
      <c r="S7" s="10">
        <v>546</v>
      </c>
      <c r="T7" s="10">
        <v>648</v>
      </c>
      <c r="U7" s="10">
        <v>573</v>
      </c>
      <c r="V7" s="10">
        <v>215</v>
      </c>
      <c r="W7" s="10"/>
      <c r="X7" s="10">
        <v>1783</v>
      </c>
      <c r="Y7" s="10">
        <v>1933</v>
      </c>
    </row>
    <row r="8" spans="2:25" ht="30" customHeight="1" x14ac:dyDescent="0.35">
      <c r="B8" s="11" t="s">
        <v>20</v>
      </c>
      <c r="C8" s="11">
        <v>3642</v>
      </c>
      <c r="D8" s="11">
        <v>1990</v>
      </c>
      <c r="E8" s="11">
        <v>1643</v>
      </c>
      <c r="F8" s="11"/>
      <c r="G8" s="11">
        <v>263</v>
      </c>
      <c r="H8" s="11">
        <v>804</v>
      </c>
      <c r="I8" s="11">
        <v>885</v>
      </c>
      <c r="J8" s="11">
        <v>875</v>
      </c>
      <c r="K8" s="11">
        <v>630</v>
      </c>
      <c r="L8" s="11">
        <v>185</v>
      </c>
      <c r="M8" s="11"/>
      <c r="N8" s="11">
        <v>106</v>
      </c>
      <c r="O8" s="11">
        <v>95</v>
      </c>
      <c r="P8" s="11">
        <v>509</v>
      </c>
      <c r="Q8" s="11">
        <v>549</v>
      </c>
      <c r="R8" s="11">
        <v>458</v>
      </c>
      <c r="S8" s="11">
        <v>556</v>
      </c>
      <c r="T8" s="11">
        <v>615</v>
      </c>
      <c r="U8" s="11">
        <v>531</v>
      </c>
      <c r="V8" s="11">
        <v>224</v>
      </c>
      <c r="W8" s="11"/>
      <c r="X8" s="11">
        <v>1638</v>
      </c>
      <c r="Y8" s="11">
        <v>2004</v>
      </c>
    </row>
    <row r="9" spans="2:25" ht="29" x14ac:dyDescent="0.35">
      <c r="B9" s="18" t="s">
        <v>321</v>
      </c>
      <c r="C9" s="17">
        <v>0.45888381376235499</v>
      </c>
      <c r="D9" s="17">
        <v>0.45024846671246099</v>
      </c>
      <c r="E9" s="17">
        <v>0.46951998199020201</v>
      </c>
      <c r="F9" s="17"/>
      <c r="G9" s="17">
        <v>0.39407562702198901</v>
      </c>
      <c r="H9" s="17">
        <v>0.45802062107971198</v>
      </c>
      <c r="I9" s="17">
        <v>0.45920504578393401</v>
      </c>
      <c r="J9" s="17">
        <v>0.45103929179163998</v>
      </c>
      <c r="K9" s="17">
        <v>0.48147192053437698</v>
      </c>
      <c r="L9" s="17">
        <v>0.51355705742456603</v>
      </c>
      <c r="M9" s="17"/>
      <c r="N9" s="17">
        <v>0.42461956964660402</v>
      </c>
      <c r="O9" s="17">
        <v>0.42790458351902</v>
      </c>
      <c r="P9" s="17">
        <v>0.41365912594902599</v>
      </c>
      <c r="Q9" s="17">
        <v>0.48299690514112797</v>
      </c>
      <c r="R9" s="17">
        <v>0.45090280818067102</v>
      </c>
      <c r="S9" s="17">
        <v>0.48899892186435301</v>
      </c>
      <c r="T9" s="17">
        <v>0.39620253219722201</v>
      </c>
      <c r="U9" s="17">
        <v>0.54871258090853303</v>
      </c>
      <c r="V9" s="17">
        <v>0.43264755554706702</v>
      </c>
      <c r="W9" s="17"/>
      <c r="X9" s="17">
        <v>0.58278435858422994</v>
      </c>
      <c r="Y9" s="17">
        <v>0.35758173435975399</v>
      </c>
    </row>
    <row r="10" spans="2:25" x14ac:dyDescent="0.35">
      <c r="B10" s="18" t="s">
        <v>277</v>
      </c>
      <c r="C10" s="17">
        <v>0.34757167570545999</v>
      </c>
      <c r="D10" s="17">
        <v>0.35664189825299097</v>
      </c>
      <c r="E10" s="17">
        <v>0.337143541224739</v>
      </c>
      <c r="F10" s="17"/>
      <c r="G10" s="17">
        <v>0.38293822089755503</v>
      </c>
      <c r="H10" s="17">
        <v>0.37216338284001999</v>
      </c>
      <c r="I10" s="17">
        <v>0.35263227809623698</v>
      </c>
      <c r="J10" s="17">
        <v>0.33576923801325398</v>
      </c>
      <c r="K10" s="17">
        <v>0.31519611800917402</v>
      </c>
      <c r="L10" s="17">
        <v>0.33230101093145697</v>
      </c>
      <c r="M10" s="17"/>
      <c r="N10" s="17">
        <v>0.35332582894846598</v>
      </c>
      <c r="O10" s="17">
        <v>0.29299342235331099</v>
      </c>
      <c r="P10" s="17">
        <v>0.36416078895451998</v>
      </c>
      <c r="Q10" s="17">
        <v>0.32891019399307497</v>
      </c>
      <c r="R10" s="17">
        <v>0.40612328109547202</v>
      </c>
      <c r="S10" s="17">
        <v>0.29974655626541802</v>
      </c>
      <c r="T10" s="17">
        <v>0.41544316280939703</v>
      </c>
      <c r="U10" s="17">
        <v>0.263506669951941</v>
      </c>
      <c r="V10" s="17">
        <v>0.38763705539227</v>
      </c>
      <c r="W10" s="17"/>
      <c r="X10" s="17">
        <v>0.33396503866398902</v>
      </c>
      <c r="Y10" s="17">
        <v>0.35869657130587101</v>
      </c>
    </row>
    <row r="11" spans="2:25" x14ac:dyDescent="0.35">
      <c r="B11" s="18" t="s">
        <v>322</v>
      </c>
      <c r="C11" s="17">
        <v>8.6780860535182094E-2</v>
      </c>
      <c r="D11" s="17">
        <v>9.2471482882878403E-2</v>
      </c>
      <c r="E11" s="17">
        <v>7.9128506074575E-2</v>
      </c>
      <c r="F11" s="17"/>
      <c r="G11" s="17">
        <v>0.120561798605612</v>
      </c>
      <c r="H11" s="17">
        <v>8.0450284768446595E-2</v>
      </c>
      <c r="I11" s="17">
        <v>8.0982411529150006E-2</v>
      </c>
      <c r="J11" s="17">
        <v>0.10044085744035899</v>
      </c>
      <c r="K11" s="17">
        <v>7.4133819275506094E-2</v>
      </c>
      <c r="L11" s="17">
        <v>7.2386234661507107E-2</v>
      </c>
      <c r="M11" s="17"/>
      <c r="N11" s="17">
        <v>0.112214031300347</v>
      </c>
      <c r="O11" s="17">
        <v>0.17631497384734399</v>
      </c>
      <c r="P11" s="17">
        <v>9.5695816626214E-2</v>
      </c>
      <c r="Q11" s="17">
        <v>8.7907377482740606E-2</v>
      </c>
      <c r="R11" s="17">
        <v>6.3588296814288695E-2</v>
      </c>
      <c r="S11" s="17">
        <v>9.3678166082036496E-2</v>
      </c>
      <c r="T11" s="17">
        <v>7.3979743251107205E-2</v>
      </c>
      <c r="U11" s="17">
        <v>7.9624127615554E-2</v>
      </c>
      <c r="V11" s="17">
        <v>9.6375902472224606E-2</v>
      </c>
      <c r="W11" s="17"/>
      <c r="X11" s="17">
        <v>5.0219700900630299E-2</v>
      </c>
      <c r="Y11" s="17">
        <v>0.116673557953706</v>
      </c>
    </row>
    <row r="12" spans="2:25" x14ac:dyDescent="0.35">
      <c r="B12" s="18" t="s">
        <v>323</v>
      </c>
      <c r="C12" s="17">
        <v>0.100975929240984</v>
      </c>
      <c r="D12" s="17">
        <v>9.4329230093969693E-2</v>
      </c>
      <c r="E12" s="17">
        <v>0.109020770117383</v>
      </c>
      <c r="F12" s="17"/>
      <c r="G12" s="17">
        <v>8.9747010903264202E-2</v>
      </c>
      <c r="H12" s="17">
        <v>8.5495068744497693E-2</v>
      </c>
      <c r="I12" s="17">
        <v>0.102378468575349</v>
      </c>
      <c r="J12" s="17">
        <v>0.106510717038652</v>
      </c>
      <c r="K12" s="17">
        <v>0.121389363604284</v>
      </c>
      <c r="L12" s="17">
        <v>8.1755696982469706E-2</v>
      </c>
      <c r="M12" s="17"/>
      <c r="N12" s="17">
        <v>0.101563497352118</v>
      </c>
      <c r="O12" s="17">
        <v>9.3738223970059695E-2</v>
      </c>
      <c r="P12" s="17">
        <v>0.113966733183001</v>
      </c>
      <c r="Q12" s="17">
        <v>9.20965061079905E-2</v>
      </c>
      <c r="R12" s="17">
        <v>7.9385613909568095E-2</v>
      </c>
      <c r="S12" s="17">
        <v>0.11437005231654</v>
      </c>
      <c r="T12" s="17">
        <v>0.110727454140232</v>
      </c>
      <c r="U12" s="17">
        <v>0.10151182016068599</v>
      </c>
      <c r="V12" s="17">
        <v>7.8929664881408304E-2</v>
      </c>
      <c r="W12" s="17"/>
      <c r="X12" s="17">
        <v>3.05112434104053E-2</v>
      </c>
      <c r="Y12" s="17">
        <v>0.15858842165859899</v>
      </c>
    </row>
    <row r="13" spans="2:25" x14ac:dyDescent="0.35">
      <c r="B13" s="18" t="s">
        <v>324</v>
      </c>
      <c r="C13" s="19">
        <v>5.7877207560190699E-3</v>
      </c>
      <c r="D13" s="19">
        <v>6.3089220576994804E-3</v>
      </c>
      <c r="E13" s="19">
        <v>5.1872005931007702E-3</v>
      </c>
      <c r="F13" s="19"/>
      <c r="G13" s="19">
        <v>1.2677342571579301E-2</v>
      </c>
      <c r="H13" s="19">
        <v>3.87064256732381E-3</v>
      </c>
      <c r="I13" s="19">
        <v>4.8017960153297198E-3</v>
      </c>
      <c r="J13" s="19">
        <v>6.2398957160956104E-3</v>
      </c>
      <c r="K13" s="19">
        <v>7.8087785766581402E-3</v>
      </c>
      <c r="L13" s="19">
        <v>0</v>
      </c>
      <c r="M13" s="19"/>
      <c r="N13" s="19">
        <v>8.2770727524654492E-3</v>
      </c>
      <c r="O13" s="19">
        <v>9.0487963102646105E-3</v>
      </c>
      <c r="P13" s="19">
        <v>1.2517535287239701E-2</v>
      </c>
      <c r="Q13" s="19">
        <v>8.08901727506596E-3</v>
      </c>
      <c r="R13" s="19">
        <v>0</v>
      </c>
      <c r="S13" s="19">
        <v>3.2063034716524898E-3</v>
      </c>
      <c r="T13" s="19">
        <v>3.6471076020426099E-3</v>
      </c>
      <c r="U13" s="19">
        <v>6.6448013632861803E-3</v>
      </c>
      <c r="V13" s="19">
        <v>4.4098217070299298E-3</v>
      </c>
      <c r="W13" s="19"/>
      <c r="X13" s="19">
        <v>2.51965844074556E-3</v>
      </c>
      <c r="Y13" s="19">
        <v>8.4597147220700792E-3</v>
      </c>
    </row>
    <row r="14" spans="2:25" x14ac:dyDescent="0.35">
      <c r="B14" s="16" t="s">
        <v>534</v>
      </c>
    </row>
    <row r="15" spans="2:25" x14ac:dyDescent="0.35">
      <c r="B15" t="s">
        <v>51</v>
      </c>
    </row>
    <row r="16" spans="2:25" x14ac:dyDescent="0.35">
      <c r="B16" t="s">
        <v>52</v>
      </c>
    </row>
    <row r="18" spans="2:2" x14ac:dyDescent="0.35">
      <c r="B18" s="8" t="str">
        <f>HYPERLINK("#'Contents'!A1", "Return to Contents")</f>
        <v>Return to Contents</v>
      </c>
    </row>
  </sheetData>
  <mergeCells count="5">
    <mergeCell ref="D5:E5"/>
    <mergeCell ref="G5:L5"/>
    <mergeCell ref="N5:V5"/>
    <mergeCell ref="X5:Y5"/>
    <mergeCell ref="D2:W2"/>
  </mergeCells>
  <pageMargins left="0.7" right="0.7" top="0.75" bottom="0.75" header="0.3" footer="0.3"/>
  <pageSetup paperSize="9" orientation="portrait" horizontalDpi="300" verticalDpi="300"/>
  <drawing r:id="rId1"/>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dimension ref="B2:Y18"/>
  <sheetViews>
    <sheetView showGridLines="0" topLeftCell="A7" workbookViewId="0">
      <pane xSplit="2" topLeftCell="C1" activePane="topRight" state="frozen"/>
      <selection pane="topRight" activeCell="B14" sqref="B14"/>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s>
  <sheetData>
    <row r="2" spans="2:25" ht="40" customHeight="1" x14ac:dyDescent="0.35">
      <c r="D2" s="30" t="s">
        <v>332</v>
      </c>
      <c r="E2" s="26"/>
      <c r="F2" s="26"/>
      <c r="G2" s="26"/>
      <c r="H2" s="26"/>
      <c r="I2" s="26"/>
      <c r="J2" s="26"/>
      <c r="K2" s="26"/>
      <c r="L2" s="26"/>
      <c r="M2" s="26"/>
      <c r="N2" s="26"/>
      <c r="O2" s="26"/>
      <c r="P2" s="26"/>
      <c r="Q2" s="26"/>
      <c r="R2" s="26"/>
      <c r="S2" s="26"/>
      <c r="T2" s="26"/>
      <c r="U2" s="26"/>
      <c r="V2" s="26"/>
      <c r="W2" s="26"/>
    </row>
    <row r="5" spans="2:25" ht="30" customHeight="1" x14ac:dyDescent="0.35">
      <c r="B5" s="15"/>
      <c r="C5" s="15"/>
      <c r="D5" s="29" t="s">
        <v>38</v>
      </c>
      <c r="E5" s="29"/>
      <c r="F5" s="15"/>
      <c r="G5" s="29" t="s">
        <v>39</v>
      </c>
      <c r="H5" s="29"/>
      <c r="I5" s="29"/>
      <c r="J5" s="29"/>
      <c r="K5" s="29"/>
      <c r="L5" s="29"/>
      <c r="M5" s="15"/>
      <c r="N5" s="29" t="s">
        <v>40</v>
      </c>
      <c r="O5" s="29"/>
      <c r="P5" s="29"/>
      <c r="Q5" s="29"/>
      <c r="R5" s="29"/>
      <c r="S5" s="29"/>
      <c r="T5" s="29"/>
      <c r="U5" s="29"/>
      <c r="V5" s="29"/>
      <c r="W5" s="15"/>
      <c r="X5" s="29" t="s">
        <v>41</v>
      </c>
      <c r="Y5" s="29"/>
    </row>
    <row r="6" spans="2:25" ht="29"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row>
    <row r="7" spans="2:25" ht="30" customHeight="1" x14ac:dyDescent="0.35">
      <c r="B7" s="10" t="s">
        <v>19</v>
      </c>
      <c r="C7" s="10">
        <v>3716</v>
      </c>
      <c r="D7" s="10">
        <v>1971</v>
      </c>
      <c r="E7" s="10">
        <v>1736</v>
      </c>
      <c r="F7" s="10"/>
      <c r="G7" s="10">
        <v>251</v>
      </c>
      <c r="H7" s="10">
        <v>847</v>
      </c>
      <c r="I7" s="10">
        <v>873</v>
      </c>
      <c r="J7" s="10">
        <v>919</v>
      </c>
      <c r="K7" s="10">
        <v>652</v>
      </c>
      <c r="L7" s="10">
        <v>174</v>
      </c>
      <c r="M7" s="10"/>
      <c r="N7" s="10">
        <v>101</v>
      </c>
      <c r="O7" s="10">
        <v>101</v>
      </c>
      <c r="P7" s="10">
        <v>508</v>
      </c>
      <c r="Q7" s="10">
        <v>536</v>
      </c>
      <c r="R7" s="10">
        <v>488</v>
      </c>
      <c r="S7" s="10">
        <v>546</v>
      </c>
      <c r="T7" s="10">
        <v>648</v>
      </c>
      <c r="U7" s="10">
        <v>573</v>
      </c>
      <c r="V7" s="10">
        <v>215</v>
      </c>
      <c r="W7" s="10"/>
      <c r="X7" s="10">
        <v>1783</v>
      </c>
      <c r="Y7" s="10">
        <v>1933</v>
      </c>
    </row>
    <row r="8" spans="2:25" ht="30" customHeight="1" x14ac:dyDescent="0.35">
      <c r="B8" s="11" t="s">
        <v>20</v>
      </c>
      <c r="C8" s="11">
        <v>3642</v>
      </c>
      <c r="D8" s="11">
        <v>1990</v>
      </c>
      <c r="E8" s="11">
        <v>1643</v>
      </c>
      <c r="F8" s="11"/>
      <c r="G8" s="11">
        <v>263</v>
      </c>
      <c r="H8" s="11">
        <v>804</v>
      </c>
      <c r="I8" s="11">
        <v>885</v>
      </c>
      <c r="J8" s="11">
        <v>875</v>
      </c>
      <c r="K8" s="11">
        <v>630</v>
      </c>
      <c r="L8" s="11">
        <v>185</v>
      </c>
      <c r="M8" s="11"/>
      <c r="N8" s="11">
        <v>106</v>
      </c>
      <c r="O8" s="11">
        <v>95</v>
      </c>
      <c r="P8" s="11">
        <v>509</v>
      </c>
      <c r="Q8" s="11">
        <v>549</v>
      </c>
      <c r="R8" s="11">
        <v>458</v>
      </c>
      <c r="S8" s="11">
        <v>556</v>
      </c>
      <c r="T8" s="11">
        <v>615</v>
      </c>
      <c r="U8" s="11">
        <v>531</v>
      </c>
      <c r="V8" s="11">
        <v>224</v>
      </c>
      <c r="W8" s="11"/>
      <c r="X8" s="11">
        <v>1638</v>
      </c>
      <c r="Y8" s="11">
        <v>2004</v>
      </c>
    </row>
    <row r="9" spans="2:25" ht="29" x14ac:dyDescent="0.35">
      <c r="B9" s="18" t="s">
        <v>321</v>
      </c>
      <c r="C9" s="17">
        <v>0.26051112761013501</v>
      </c>
      <c r="D9" s="17">
        <v>0.27844180370655103</v>
      </c>
      <c r="E9" s="17">
        <v>0.23909081260111401</v>
      </c>
      <c r="F9" s="17"/>
      <c r="G9" s="17">
        <v>0.24347561736501</v>
      </c>
      <c r="H9" s="17">
        <v>0.25785970102727701</v>
      </c>
      <c r="I9" s="17">
        <v>0.27331846816552902</v>
      </c>
      <c r="J9" s="17">
        <v>0.25461271257861101</v>
      </c>
      <c r="K9" s="17">
        <v>0.251110802487993</v>
      </c>
      <c r="L9" s="17">
        <v>0.29498496275252201</v>
      </c>
      <c r="M9" s="17"/>
      <c r="N9" s="17">
        <v>0.25829374277871803</v>
      </c>
      <c r="O9" s="17">
        <v>0.24373848137932699</v>
      </c>
      <c r="P9" s="17">
        <v>0.24855335031794501</v>
      </c>
      <c r="Q9" s="17">
        <v>0.23797387659233499</v>
      </c>
      <c r="R9" s="17">
        <v>0.29098030901390898</v>
      </c>
      <c r="S9" s="17">
        <v>0.230122698557989</v>
      </c>
      <c r="T9" s="17">
        <v>0.229861369527184</v>
      </c>
      <c r="U9" s="17">
        <v>0.36655770075947802</v>
      </c>
      <c r="V9" s="17">
        <v>0.19703717209882701</v>
      </c>
      <c r="W9" s="17"/>
      <c r="X9" s="17">
        <v>0.35950110731684698</v>
      </c>
      <c r="Y9" s="17">
        <v>0.179576126083485</v>
      </c>
    </row>
    <row r="10" spans="2:25" x14ac:dyDescent="0.35">
      <c r="B10" s="18" t="s">
        <v>277</v>
      </c>
      <c r="C10" s="17">
        <v>0.32722377317458701</v>
      </c>
      <c r="D10" s="17">
        <v>0.33590028779305198</v>
      </c>
      <c r="E10" s="17">
        <v>0.31778922732130199</v>
      </c>
      <c r="F10" s="17"/>
      <c r="G10" s="17">
        <v>0.34765588611475601</v>
      </c>
      <c r="H10" s="17">
        <v>0.35400887967710098</v>
      </c>
      <c r="I10" s="17">
        <v>0.34343260045145702</v>
      </c>
      <c r="J10" s="17">
        <v>0.31396385213494898</v>
      </c>
      <c r="K10" s="17">
        <v>0.29079118224031603</v>
      </c>
      <c r="L10" s="17">
        <v>0.29102530864210302</v>
      </c>
      <c r="M10" s="17"/>
      <c r="N10" s="17">
        <v>0.31017602899248697</v>
      </c>
      <c r="O10" s="17">
        <v>0.224919425210694</v>
      </c>
      <c r="P10" s="17">
        <v>0.29025361036167702</v>
      </c>
      <c r="Q10" s="17">
        <v>0.28716707777571399</v>
      </c>
      <c r="R10" s="17">
        <v>0.39048708915437502</v>
      </c>
      <c r="S10" s="17">
        <v>0.31253406159209401</v>
      </c>
      <c r="T10" s="17">
        <v>0.374466772926629</v>
      </c>
      <c r="U10" s="17">
        <v>0.31888788728884099</v>
      </c>
      <c r="V10" s="17">
        <v>0.35764218960702598</v>
      </c>
      <c r="W10" s="17"/>
      <c r="X10" s="17">
        <v>0.36547178979981398</v>
      </c>
      <c r="Y10" s="17">
        <v>0.29595188794816601</v>
      </c>
    </row>
    <row r="11" spans="2:25" x14ac:dyDescent="0.35">
      <c r="B11" s="18" t="s">
        <v>322</v>
      </c>
      <c r="C11" s="17">
        <v>0.19545747609575201</v>
      </c>
      <c r="D11" s="17">
        <v>0.20273542008331699</v>
      </c>
      <c r="E11" s="17">
        <v>0.18527132251370601</v>
      </c>
      <c r="F11" s="17"/>
      <c r="G11" s="17">
        <v>0.19852029213713099</v>
      </c>
      <c r="H11" s="17">
        <v>0.21057168551282901</v>
      </c>
      <c r="I11" s="17">
        <v>0.182208277944233</v>
      </c>
      <c r="J11" s="17">
        <v>0.191244768081926</v>
      </c>
      <c r="K11" s="17">
        <v>0.19659258605205299</v>
      </c>
      <c r="L11" s="17">
        <v>0.20488709457615301</v>
      </c>
      <c r="M11" s="17"/>
      <c r="N11" s="17">
        <v>0.19236647151452599</v>
      </c>
      <c r="O11" s="17">
        <v>0.25923857295052699</v>
      </c>
      <c r="P11" s="17">
        <v>0.19904078309912401</v>
      </c>
      <c r="Q11" s="17">
        <v>0.22018000967515899</v>
      </c>
      <c r="R11" s="17">
        <v>0.19048292897187799</v>
      </c>
      <c r="S11" s="17">
        <v>0.19656167092396301</v>
      </c>
      <c r="T11" s="17">
        <v>0.19414920223909801</v>
      </c>
      <c r="U11" s="17">
        <v>0.14662473650284499</v>
      </c>
      <c r="V11" s="17">
        <v>0.22795206579180699</v>
      </c>
      <c r="W11" s="17"/>
      <c r="X11" s="17">
        <v>0.16331197105305401</v>
      </c>
      <c r="Y11" s="17">
        <v>0.22173989889666601</v>
      </c>
    </row>
    <row r="12" spans="2:25" x14ac:dyDescent="0.35">
      <c r="B12" s="18" t="s">
        <v>323</v>
      </c>
      <c r="C12" s="17">
        <v>0.209423951029444</v>
      </c>
      <c r="D12" s="17">
        <v>0.17812973759772899</v>
      </c>
      <c r="E12" s="17">
        <v>0.247286319520169</v>
      </c>
      <c r="F12" s="17"/>
      <c r="G12" s="17">
        <v>0.19741448324753999</v>
      </c>
      <c r="H12" s="17">
        <v>0.17109962850459201</v>
      </c>
      <c r="I12" s="17">
        <v>0.19763839303449199</v>
      </c>
      <c r="J12" s="17">
        <v>0.22839084942208199</v>
      </c>
      <c r="K12" s="17">
        <v>0.25362413374923598</v>
      </c>
      <c r="L12" s="17">
        <v>0.209102634029222</v>
      </c>
      <c r="M12" s="17"/>
      <c r="N12" s="17">
        <v>0.23916375671426901</v>
      </c>
      <c r="O12" s="17">
        <v>0.26283748559442399</v>
      </c>
      <c r="P12" s="17">
        <v>0.25156427613493298</v>
      </c>
      <c r="Q12" s="17">
        <v>0.248327273930981</v>
      </c>
      <c r="R12" s="17">
        <v>0.125299533616366</v>
      </c>
      <c r="S12" s="17">
        <v>0.24526571484854701</v>
      </c>
      <c r="T12" s="17">
        <v>0.196608944403946</v>
      </c>
      <c r="U12" s="17">
        <v>0.163842330320423</v>
      </c>
      <c r="V12" s="17">
        <v>0.208151650702044</v>
      </c>
      <c r="W12" s="17"/>
      <c r="X12" s="17">
        <v>0.109395761548474</v>
      </c>
      <c r="Y12" s="17">
        <v>0.29120780119626299</v>
      </c>
    </row>
    <row r="13" spans="2:25" x14ac:dyDescent="0.35">
      <c r="B13" s="18" t="s">
        <v>324</v>
      </c>
      <c r="C13" s="19">
        <v>7.3836720900827303E-3</v>
      </c>
      <c r="D13" s="19">
        <v>4.7927508193511001E-3</v>
      </c>
      <c r="E13" s="19">
        <v>1.05623180437097E-2</v>
      </c>
      <c r="F13" s="19"/>
      <c r="G13" s="19">
        <v>1.29337211355627E-2</v>
      </c>
      <c r="H13" s="19">
        <v>6.46010527820146E-3</v>
      </c>
      <c r="I13" s="19">
        <v>3.40226040428872E-3</v>
      </c>
      <c r="J13" s="19">
        <v>1.1787817782432E-2</v>
      </c>
      <c r="K13" s="19">
        <v>7.8812954704010497E-3</v>
      </c>
      <c r="L13" s="19">
        <v>0</v>
      </c>
      <c r="M13" s="19"/>
      <c r="N13" s="19">
        <v>0</v>
      </c>
      <c r="O13" s="19">
        <v>9.2660348650266799E-3</v>
      </c>
      <c r="P13" s="19">
        <v>1.05879800863214E-2</v>
      </c>
      <c r="Q13" s="19">
        <v>6.3517620258110499E-3</v>
      </c>
      <c r="R13" s="19">
        <v>2.7501392434717701E-3</v>
      </c>
      <c r="S13" s="19">
        <v>1.5515854077406899E-2</v>
      </c>
      <c r="T13" s="19">
        <v>4.9137109031421704E-3</v>
      </c>
      <c r="U13" s="19">
        <v>4.0873451284126599E-3</v>
      </c>
      <c r="V13" s="19">
        <v>9.2169218002957493E-3</v>
      </c>
      <c r="W13" s="19"/>
      <c r="X13" s="19">
        <v>2.3193702818103301E-3</v>
      </c>
      <c r="Y13" s="19">
        <v>1.15242858754207E-2</v>
      </c>
    </row>
    <row r="14" spans="2:25" x14ac:dyDescent="0.35">
      <c r="B14" s="16" t="s">
        <v>534</v>
      </c>
    </row>
    <row r="15" spans="2:25" x14ac:dyDescent="0.35">
      <c r="B15" t="s">
        <v>51</v>
      </c>
    </row>
    <row r="16" spans="2:25" x14ac:dyDescent="0.35">
      <c r="B16" t="s">
        <v>52</v>
      </c>
    </row>
    <row r="18" spans="2:2" x14ac:dyDescent="0.35">
      <c r="B18" s="8" t="str">
        <f>HYPERLINK("#'Contents'!A1", "Return to Contents")</f>
        <v>Return to Contents</v>
      </c>
    </row>
  </sheetData>
  <mergeCells count="5">
    <mergeCell ref="D5:E5"/>
    <mergeCell ref="G5:L5"/>
    <mergeCell ref="N5:V5"/>
    <mergeCell ref="X5:Y5"/>
    <mergeCell ref="D2:W2"/>
  </mergeCells>
  <pageMargins left="0.7" right="0.7" top="0.75" bottom="0.75" header="0.3" footer="0.3"/>
  <pageSetup paperSize="9" orientation="portrait" horizontalDpi="300" verticalDpi="300"/>
  <drawing r:id="rId1"/>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dimension ref="B2:Y18"/>
  <sheetViews>
    <sheetView showGridLines="0" topLeftCell="A7" workbookViewId="0">
      <pane xSplit="2" topLeftCell="C1" activePane="topRight" state="frozen"/>
      <selection pane="topRight" activeCell="B14" sqref="B14"/>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s>
  <sheetData>
    <row r="2" spans="2:25" ht="40" customHeight="1" x14ac:dyDescent="0.35">
      <c r="D2" s="30" t="s">
        <v>333</v>
      </c>
      <c r="E2" s="26"/>
      <c r="F2" s="26"/>
      <c r="G2" s="26"/>
      <c r="H2" s="26"/>
      <c r="I2" s="26"/>
      <c r="J2" s="26"/>
      <c r="K2" s="26"/>
      <c r="L2" s="26"/>
      <c r="M2" s="26"/>
      <c r="N2" s="26"/>
      <c r="O2" s="26"/>
      <c r="P2" s="26"/>
      <c r="Q2" s="26"/>
      <c r="R2" s="26"/>
      <c r="S2" s="26"/>
      <c r="T2" s="26"/>
      <c r="U2" s="26"/>
      <c r="V2" s="26"/>
      <c r="W2" s="26"/>
    </row>
    <row r="5" spans="2:25" ht="30" customHeight="1" x14ac:dyDescent="0.35">
      <c r="B5" s="15"/>
      <c r="C5" s="15"/>
      <c r="D5" s="29" t="s">
        <v>38</v>
      </c>
      <c r="E5" s="29"/>
      <c r="F5" s="15"/>
      <c r="G5" s="29" t="s">
        <v>39</v>
      </c>
      <c r="H5" s="29"/>
      <c r="I5" s="29"/>
      <c r="J5" s="29"/>
      <c r="K5" s="29"/>
      <c r="L5" s="29"/>
      <c r="M5" s="15"/>
      <c r="N5" s="29" t="s">
        <v>40</v>
      </c>
      <c r="O5" s="29"/>
      <c r="P5" s="29"/>
      <c r="Q5" s="29"/>
      <c r="R5" s="29"/>
      <c r="S5" s="29"/>
      <c r="T5" s="29"/>
      <c r="U5" s="29"/>
      <c r="V5" s="29"/>
      <c r="W5" s="15"/>
      <c r="X5" s="29" t="s">
        <v>41</v>
      </c>
      <c r="Y5" s="29"/>
    </row>
    <row r="6" spans="2:25" ht="29"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row>
    <row r="7" spans="2:25" ht="30" customHeight="1" x14ac:dyDescent="0.35">
      <c r="B7" s="10" t="s">
        <v>19</v>
      </c>
      <c r="C7" s="10">
        <v>3716</v>
      </c>
      <c r="D7" s="10">
        <v>1971</v>
      </c>
      <c r="E7" s="10">
        <v>1736</v>
      </c>
      <c r="F7" s="10"/>
      <c r="G7" s="10">
        <v>251</v>
      </c>
      <c r="H7" s="10">
        <v>847</v>
      </c>
      <c r="I7" s="10">
        <v>873</v>
      </c>
      <c r="J7" s="10">
        <v>919</v>
      </c>
      <c r="K7" s="10">
        <v>652</v>
      </c>
      <c r="L7" s="10">
        <v>174</v>
      </c>
      <c r="M7" s="10"/>
      <c r="N7" s="10">
        <v>101</v>
      </c>
      <c r="O7" s="10">
        <v>101</v>
      </c>
      <c r="P7" s="10">
        <v>508</v>
      </c>
      <c r="Q7" s="10">
        <v>536</v>
      </c>
      <c r="R7" s="10">
        <v>488</v>
      </c>
      <c r="S7" s="10">
        <v>546</v>
      </c>
      <c r="T7" s="10">
        <v>648</v>
      </c>
      <c r="U7" s="10">
        <v>573</v>
      </c>
      <c r="V7" s="10">
        <v>215</v>
      </c>
      <c r="W7" s="10"/>
      <c r="X7" s="10">
        <v>1783</v>
      </c>
      <c r="Y7" s="10">
        <v>1933</v>
      </c>
    </row>
    <row r="8" spans="2:25" ht="30" customHeight="1" x14ac:dyDescent="0.35">
      <c r="B8" s="11" t="s">
        <v>20</v>
      </c>
      <c r="C8" s="11">
        <v>3642</v>
      </c>
      <c r="D8" s="11">
        <v>1990</v>
      </c>
      <c r="E8" s="11">
        <v>1643</v>
      </c>
      <c r="F8" s="11"/>
      <c r="G8" s="11">
        <v>263</v>
      </c>
      <c r="H8" s="11">
        <v>804</v>
      </c>
      <c r="I8" s="11">
        <v>885</v>
      </c>
      <c r="J8" s="11">
        <v>875</v>
      </c>
      <c r="K8" s="11">
        <v>630</v>
      </c>
      <c r="L8" s="11">
        <v>185</v>
      </c>
      <c r="M8" s="11"/>
      <c r="N8" s="11">
        <v>106</v>
      </c>
      <c r="O8" s="11">
        <v>95</v>
      </c>
      <c r="P8" s="11">
        <v>509</v>
      </c>
      <c r="Q8" s="11">
        <v>549</v>
      </c>
      <c r="R8" s="11">
        <v>458</v>
      </c>
      <c r="S8" s="11">
        <v>556</v>
      </c>
      <c r="T8" s="11">
        <v>615</v>
      </c>
      <c r="U8" s="11">
        <v>531</v>
      </c>
      <c r="V8" s="11">
        <v>224</v>
      </c>
      <c r="W8" s="11"/>
      <c r="X8" s="11">
        <v>1638</v>
      </c>
      <c r="Y8" s="11">
        <v>2004</v>
      </c>
    </row>
    <row r="9" spans="2:25" ht="29" x14ac:dyDescent="0.35">
      <c r="B9" s="18" t="s">
        <v>321</v>
      </c>
      <c r="C9" s="17">
        <v>0.104977843129627</v>
      </c>
      <c r="D9" s="17">
        <v>0.117266795374191</v>
      </c>
      <c r="E9" s="17">
        <v>9.0650253060617206E-2</v>
      </c>
      <c r="F9" s="17"/>
      <c r="G9" s="17">
        <v>0.124266205207021</v>
      </c>
      <c r="H9" s="17">
        <v>0.11503978093351699</v>
      </c>
      <c r="I9" s="17">
        <v>0.12570130067177801</v>
      </c>
      <c r="J9" s="17">
        <v>8.7111296499766899E-2</v>
      </c>
      <c r="K9" s="17">
        <v>7.7782949463507195E-2</v>
      </c>
      <c r="L9" s="17">
        <v>0.11187195552186301</v>
      </c>
      <c r="M9" s="17"/>
      <c r="N9" s="17">
        <v>7.0525786300707202E-2</v>
      </c>
      <c r="O9" s="17">
        <v>2.2706209282751199E-2</v>
      </c>
      <c r="P9" s="17">
        <v>9.2493724835939595E-2</v>
      </c>
      <c r="Q9" s="17">
        <v>7.8380506857454804E-2</v>
      </c>
      <c r="R9" s="17">
        <v>0.153199691815815</v>
      </c>
      <c r="S9" s="17">
        <v>7.25318987850882E-2</v>
      </c>
      <c r="T9" s="17">
        <v>9.6288184885659198E-2</v>
      </c>
      <c r="U9" s="17">
        <v>0.175457355550343</v>
      </c>
      <c r="V9" s="17">
        <v>8.8272248571770101E-2</v>
      </c>
      <c r="W9" s="17"/>
      <c r="X9" s="17">
        <v>0.133265045764277</v>
      </c>
      <c r="Y9" s="17">
        <v>8.1849999329645901E-2</v>
      </c>
    </row>
    <row r="10" spans="2:25" x14ac:dyDescent="0.35">
      <c r="B10" s="18" t="s">
        <v>277</v>
      </c>
      <c r="C10" s="17">
        <v>0.20872554726641901</v>
      </c>
      <c r="D10" s="17">
        <v>0.23550589472518901</v>
      </c>
      <c r="E10" s="17">
        <v>0.17612090823613399</v>
      </c>
      <c r="F10" s="17"/>
      <c r="G10" s="17">
        <v>0.249728051160549</v>
      </c>
      <c r="H10" s="17">
        <v>0.22227605760814101</v>
      </c>
      <c r="I10" s="17">
        <v>0.219838318436123</v>
      </c>
      <c r="J10" s="17">
        <v>0.20071123708833</v>
      </c>
      <c r="K10" s="17">
        <v>0.16312847045065201</v>
      </c>
      <c r="L10" s="17">
        <v>0.23162907636619401</v>
      </c>
      <c r="M10" s="17"/>
      <c r="N10" s="17">
        <v>0.16000021939060399</v>
      </c>
      <c r="O10" s="17">
        <v>0.184364401765862</v>
      </c>
      <c r="P10" s="17">
        <v>0.209004024609487</v>
      </c>
      <c r="Q10" s="17">
        <v>0.151533743353328</v>
      </c>
      <c r="R10" s="17">
        <v>0.291733357381666</v>
      </c>
      <c r="S10" s="17">
        <v>0.15038043402462101</v>
      </c>
      <c r="T10" s="17">
        <v>0.23917067700769701</v>
      </c>
      <c r="U10" s="17">
        <v>0.25187887983298002</v>
      </c>
      <c r="V10" s="17">
        <v>0.17068630346618499</v>
      </c>
      <c r="W10" s="17"/>
      <c r="X10" s="17">
        <v>0.232453247849567</v>
      </c>
      <c r="Y10" s="17">
        <v>0.18932558892103199</v>
      </c>
    </row>
    <row r="11" spans="2:25" x14ac:dyDescent="0.35">
      <c r="B11" s="18" t="s">
        <v>322</v>
      </c>
      <c r="C11" s="17">
        <v>0.26233767801128699</v>
      </c>
      <c r="D11" s="17">
        <v>0.26701954435339997</v>
      </c>
      <c r="E11" s="17">
        <v>0.25572705634929899</v>
      </c>
      <c r="F11" s="17"/>
      <c r="G11" s="17">
        <v>0.29711749970888801</v>
      </c>
      <c r="H11" s="17">
        <v>0.26756071402438802</v>
      </c>
      <c r="I11" s="17">
        <v>0.27425834382438002</v>
      </c>
      <c r="J11" s="17">
        <v>0.24308340035722201</v>
      </c>
      <c r="K11" s="17">
        <v>0.25499189731493499</v>
      </c>
      <c r="L11" s="17">
        <v>0.24925346647206201</v>
      </c>
      <c r="M11" s="17"/>
      <c r="N11" s="17">
        <v>0.37165668077424402</v>
      </c>
      <c r="O11" s="17">
        <v>0.241619326194183</v>
      </c>
      <c r="P11" s="17">
        <v>0.27535913193634398</v>
      </c>
      <c r="Q11" s="17">
        <v>0.23807733948059001</v>
      </c>
      <c r="R11" s="17">
        <v>0.26957777368321301</v>
      </c>
      <c r="S11" s="17">
        <v>0.27734010480969801</v>
      </c>
      <c r="T11" s="17">
        <v>0.25528234867384503</v>
      </c>
      <c r="U11" s="17">
        <v>0.22719435399319299</v>
      </c>
      <c r="V11" s="17">
        <v>0.29986935062953302</v>
      </c>
      <c r="W11" s="17"/>
      <c r="X11" s="17">
        <v>0.285749236769334</v>
      </c>
      <c r="Y11" s="17">
        <v>0.24319619975825901</v>
      </c>
    </row>
    <row r="12" spans="2:25" x14ac:dyDescent="0.35">
      <c r="B12" s="18" t="s">
        <v>323</v>
      </c>
      <c r="C12" s="17">
        <v>0.41482929010064901</v>
      </c>
      <c r="D12" s="17">
        <v>0.37451536412814102</v>
      </c>
      <c r="E12" s="17">
        <v>0.464158759598714</v>
      </c>
      <c r="F12" s="17"/>
      <c r="G12" s="17">
        <v>0.31623277746582501</v>
      </c>
      <c r="H12" s="17">
        <v>0.39046176174052499</v>
      </c>
      <c r="I12" s="17">
        <v>0.37079084811825203</v>
      </c>
      <c r="J12" s="17">
        <v>0.45792758243700499</v>
      </c>
      <c r="K12" s="17">
        <v>0.49494229938344397</v>
      </c>
      <c r="L12" s="17">
        <v>0.39478227752064898</v>
      </c>
      <c r="M12" s="17"/>
      <c r="N12" s="17">
        <v>0.37865328481677601</v>
      </c>
      <c r="O12" s="17">
        <v>0.54229699857022795</v>
      </c>
      <c r="P12" s="17">
        <v>0.41084930784658602</v>
      </c>
      <c r="Q12" s="17">
        <v>0.51863337718206304</v>
      </c>
      <c r="R12" s="17">
        <v>0.28305321401879602</v>
      </c>
      <c r="S12" s="17">
        <v>0.49438277942689102</v>
      </c>
      <c r="T12" s="17">
        <v>0.40316634926253297</v>
      </c>
      <c r="U12" s="17">
        <v>0.33503792697238199</v>
      </c>
      <c r="V12" s="17">
        <v>0.42602866268206302</v>
      </c>
      <c r="W12" s="17"/>
      <c r="X12" s="17">
        <v>0.34327413499432002</v>
      </c>
      <c r="Y12" s="17">
        <v>0.47333335894609002</v>
      </c>
    </row>
    <row r="13" spans="2:25" x14ac:dyDescent="0.35">
      <c r="B13" s="18" t="s">
        <v>324</v>
      </c>
      <c r="C13" s="19">
        <v>9.1296414920182499E-3</v>
      </c>
      <c r="D13" s="19">
        <v>5.6924014190785598E-3</v>
      </c>
      <c r="E13" s="19">
        <v>1.3343022755235899E-2</v>
      </c>
      <c r="F13" s="19"/>
      <c r="G13" s="19">
        <v>1.26554664577166E-2</v>
      </c>
      <c r="H13" s="19">
        <v>4.66168569342986E-3</v>
      </c>
      <c r="I13" s="19">
        <v>9.4111889494661698E-3</v>
      </c>
      <c r="J13" s="19">
        <v>1.11664836176765E-2</v>
      </c>
      <c r="K13" s="19">
        <v>9.1543833874630793E-3</v>
      </c>
      <c r="L13" s="19">
        <v>1.24632241192329E-2</v>
      </c>
      <c r="M13" s="19"/>
      <c r="N13" s="19">
        <v>1.9164028717668501E-2</v>
      </c>
      <c r="O13" s="19">
        <v>9.0130641869763696E-3</v>
      </c>
      <c r="P13" s="19">
        <v>1.22938107716427E-2</v>
      </c>
      <c r="Q13" s="19">
        <v>1.33750331265645E-2</v>
      </c>
      <c r="R13" s="19">
        <v>2.4359631005107601E-3</v>
      </c>
      <c r="S13" s="19">
        <v>5.3647829537018001E-3</v>
      </c>
      <c r="T13" s="19">
        <v>6.0924401702657999E-3</v>
      </c>
      <c r="U13" s="19">
        <v>1.0431483651102001E-2</v>
      </c>
      <c r="V13" s="19">
        <v>1.51434346504486E-2</v>
      </c>
      <c r="W13" s="19"/>
      <c r="X13" s="19">
        <v>5.2583346225007202E-3</v>
      </c>
      <c r="Y13" s="19">
        <v>1.2294853044973899E-2</v>
      </c>
    </row>
    <row r="14" spans="2:25" x14ac:dyDescent="0.35">
      <c r="B14" s="16" t="s">
        <v>534</v>
      </c>
    </row>
    <row r="15" spans="2:25" x14ac:dyDescent="0.35">
      <c r="B15" t="s">
        <v>51</v>
      </c>
    </row>
    <row r="16" spans="2:25" x14ac:dyDescent="0.35">
      <c r="B16" t="s">
        <v>52</v>
      </c>
    </row>
    <row r="18" spans="2:2" x14ac:dyDescent="0.35">
      <c r="B18" s="8" t="str">
        <f>HYPERLINK("#'Contents'!A1", "Return to Contents")</f>
        <v>Return to Contents</v>
      </c>
    </row>
  </sheetData>
  <mergeCells count="5">
    <mergeCell ref="D5:E5"/>
    <mergeCell ref="G5:L5"/>
    <mergeCell ref="N5:V5"/>
    <mergeCell ref="X5:Y5"/>
    <mergeCell ref="D2:W2"/>
  </mergeCells>
  <pageMargins left="0.7" right="0.7" top="0.75" bottom="0.75" header="0.3" footer="0.3"/>
  <pageSetup paperSize="9" orientation="portrait" horizontalDpi="300" verticalDpi="300"/>
  <drawing r:id="rId1"/>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dimension ref="B2:Y18"/>
  <sheetViews>
    <sheetView showGridLines="0" topLeftCell="A7" workbookViewId="0">
      <pane xSplit="2" topLeftCell="C1" activePane="topRight" state="frozen"/>
      <selection pane="topRight" activeCell="B14" sqref="B14"/>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s>
  <sheetData>
    <row r="2" spans="2:25" ht="40" customHeight="1" x14ac:dyDescent="0.35">
      <c r="D2" s="30" t="s">
        <v>334</v>
      </c>
      <c r="E2" s="26"/>
      <c r="F2" s="26"/>
      <c r="G2" s="26"/>
      <c r="H2" s="26"/>
      <c r="I2" s="26"/>
      <c r="J2" s="26"/>
      <c r="K2" s="26"/>
      <c r="L2" s="26"/>
      <c r="M2" s="26"/>
      <c r="N2" s="26"/>
      <c r="O2" s="26"/>
      <c r="P2" s="26"/>
      <c r="Q2" s="26"/>
      <c r="R2" s="26"/>
      <c r="S2" s="26"/>
      <c r="T2" s="26"/>
      <c r="U2" s="26"/>
      <c r="V2" s="26"/>
      <c r="W2" s="26"/>
    </row>
    <row r="5" spans="2:25" ht="30" customHeight="1" x14ac:dyDescent="0.35">
      <c r="B5" s="15"/>
      <c r="C5" s="15"/>
      <c r="D5" s="29" t="s">
        <v>38</v>
      </c>
      <c r="E5" s="29"/>
      <c r="F5" s="15"/>
      <c r="G5" s="29" t="s">
        <v>39</v>
      </c>
      <c r="H5" s="29"/>
      <c r="I5" s="29"/>
      <c r="J5" s="29"/>
      <c r="K5" s="29"/>
      <c r="L5" s="29"/>
      <c r="M5" s="15"/>
      <c r="N5" s="29" t="s">
        <v>40</v>
      </c>
      <c r="O5" s="29"/>
      <c r="P5" s="29"/>
      <c r="Q5" s="29"/>
      <c r="R5" s="29"/>
      <c r="S5" s="29"/>
      <c r="T5" s="29"/>
      <c r="U5" s="29"/>
      <c r="V5" s="29"/>
      <c r="W5" s="15"/>
      <c r="X5" s="29" t="s">
        <v>41</v>
      </c>
      <c r="Y5" s="29"/>
    </row>
    <row r="6" spans="2:25" ht="29"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row>
    <row r="7" spans="2:25" ht="30" customHeight="1" x14ac:dyDescent="0.35">
      <c r="B7" s="10" t="s">
        <v>19</v>
      </c>
      <c r="C7" s="10">
        <v>3716</v>
      </c>
      <c r="D7" s="10">
        <v>1971</v>
      </c>
      <c r="E7" s="10">
        <v>1736</v>
      </c>
      <c r="F7" s="10"/>
      <c r="G7" s="10">
        <v>251</v>
      </c>
      <c r="H7" s="10">
        <v>847</v>
      </c>
      <c r="I7" s="10">
        <v>873</v>
      </c>
      <c r="J7" s="10">
        <v>919</v>
      </c>
      <c r="K7" s="10">
        <v>652</v>
      </c>
      <c r="L7" s="10">
        <v>174</v>
      </c>
      <c r="M7" s="10"/>
      <c r="N7" s="10">
        <v>101</v>
      </c>
      <c r="O7" s="10">
        <v>101</v>
      </c>
      <c r="P7" s="10">
        <v>508</v>
      </c>
      <c r="Q7" s="10">
        <v>536</v>
      </c>
      <c r="R7" s="10">
        <v>488</v>
      </c>
      <c r="S7" s="10">
        <v>546</v>
      </c>
      <c r="T7" s="10">
        <v>648</v>
      </c>
      <c r="U7" s="10">
        <v>573</v>
      </c>
      <c r="V7" s="10">
        <v>215</v>
      </c>
      <c r="W7" s="10"/>
      <c r="X7" s="10">
        <v>1783</v>
      </c>
      <c r="Y7" s="10">
        <v>1933</v>
      </c>
    </row>
    <row r="8" spans="2:25" ht="30" customHeight="1" x14ac:dyDescent="0.35">
      <c r="B8" s="11" t="s">
        <v>20</v>
      </c>
      <c r="C8" s="11">
        <v>3642</v>
      </c>
      <c r="D8" s="11">
        <v>1990</v>
      </c>
      <c r="E8" s="11">
        <v>1643</v>
      </c>
      <c r="F8" s="11"/>
      <c r="G8" s="11">
        <v>263</v>
      </c>
      <c r="H8" s="11">
        <v>804</v>
      </c>
      <c r="I8" s="11">
        <v>885</v>
      </c>
      <c r="J8" s="11">
        <v>875</v>
      </c>
      <c r="K8" s="11">
        <v>630</v>
      </c>
      <c r="L8" s="11">
        <v>185</v>
      </c>
      <c r="M8" s="11"/>
      <c r="N8" s="11">
        <v>106</v>
      </c>
      <c r="O8" s="11">
        <v>95</v>
      </c>
      <c r="P8" s="11">
        <v>509</v>
      </c>
      <c r="Q8" s="11">
        <v>549</v>
      </c>
      <c r="R8" s="11">
        <v>458</v>
      </c>
      <c r="S8" s="11">
        <v>556</v>
      </c>
      <c r="T8" s="11">
        <v>615</v>
      </c>
      <c r="U8" s="11">
        <v>531</v>
      </c>
      <c r="V8" s="11">
        <v>224</v>
      </c>
      <c r="W8" s="11"/>
      <c r="X8" s="11">
        <v>1638</v>
      </c>
      <c r="Y8" s="11">
        <v>2004</v>
      </c>
    </row>
    <row r="9" spans="2:25" ht="29" x14ac:dyDescent="0.35">
      <c r="B9" s="18" t="s">
        <v>321</v>
      </c>
      <c r="C9" s="17">
        <v>7.6145592187622096E-2</v>
      </c>
      <c r="D9" s="17">
        <v>8.5120172698069499E-2</v>
      </c>
      <c r="E9" s="17">
        <v>6.5679422704734605E-2</v>
      </c>
      <c r="F9" s="17"/>
      <c r="G9" s="17">
        <v>0.101986708906766</v>
      </c>
      <c r="H9" s="17">
        <v>9.47508318993356E-2</v>
      </c>
      <c r="I9" s="17">
        <v>7.9347495150627306E-2</v>
      </c>
      <c r="J9" s="17">
        <v>6.6732792717430794E-2</v>
      </c>
      <c r="K9" s="17">
        <v>5.3779938153637803E-2</v>
      </c>
      <c r="L9" s="17">
        <v>6.3930035037300395E-2</v>
      </c>
      <c r="M9" s="17"/>
      <c r="N9" s="17">
        <v>4.1397657648655398E-2</v>
      </c>
      <c r="O9" s="17">
        <v>7.0324204171520702E-2</v>
      </c>
      <c r="P9" s="17">
        <v>7.36227744768852E-2</v>
      </c>
      <c r="Q9" s="17">
        <v>5.7979840911251301E-2</v>
      </c>
      <c r="R9" s="17">
        <v>9.31463071171926E-2</v>
      </c>
      <c r="S9" s="17">
        <v>6.70810374504138E-2</v>
      </c>
      <c r="T9" s="17">
        <v>4.8917611528867901E-2</v>
      </c>
      <c r="U9" s="17">
        <v>0.14606701204429501</v>
      </c>
      <c r="V9" s="17">
        <v>4.20890127756397E-2</v>
      </c>
      <c r="W9" s="17"/>
      <c r="X9" s="17">
        <v>0.10347187307801101</v>
      </c>
      <c r="Y9" s="17">
        <v>5.3803405714465902E-2</v>
      </c>
    </row>
    <row r="10" spans="2:25" x14ac:dyDescent="0.35">
      <c r="B10" s="18" t="s">
        <v>277</v>
      </c>
      <c r="C10" s="17">
        <v>0.25711175372325501</v>
      </c>
      <c r="D10" s="17">
        <v>0.27118254241143902</v>
      </c>
      <c r="E10" s="17">
        <v>0.240848831277863</v>
      </c>
      <c r="F10" s="17"/>
      <c r="G10" s="17">
        <v>0.252392912488828</v>
      </c>
      <c r="H10" s="17">
        <v>0.280263867059664</v>
      </c>
      <c r="I10" s="17">
        <v>0.27363115794428999</v>
      </c>
      <c r="J10" s="17">
        <v>0.24974199078707199</v>
      </c>
      <c r="K10" s="17">
        <v>0.211296803992856</v>
      </c>
      <c r="L10" s="17">
        <v>0.27516155231656703</v>
      </c>
      <c r="M10" s="17"/>
      <c r="N10" s="17">
        <v>0.18262026031370299</v>
      </c>
      <c r="O10" s="17">
        <v>0.223142340700551</v>
      </c>
      <c r="P10" s="17">
        <v>0.24827230644062601</v>
      </c>
      <c r="Q10" s="17">
        <v>0.223104804188758</v>
      </c>
      <c r="R10" s="17">
        <v>0.36186321684777001</v>
      </c>
      <c r="S10" s="17">
        <v>0.15037100117896099</v>
      </c>
      <c r="T10" s="17">
        <v>0.24843885921977801</v>
      </c>
      <c r="U10" s="17">
        <v>0.38396004109159798</v>
      </c>
      <c r="V10" s="17">
        <v>0.18393793306492701</v>
      </c>
      <c r="W10" s="17"/>
      <c r="X10" s="17">
        <v>0.28048148435744902</v>
      </c>
      <c r="Y10" s="17">
        <v>0.23800447447984199</v>
      </c>
    </row>
    <row r="11" spans="2:25" x14ac:dyDescent="0.35">
      <c r="B11" s="18" t="s">
        <v>322</v>
      </c>
      <c r="C11" s="17">
        <v>0.25670689385912998</v>
      </c>
      <c r="D11" s="17">
        <v>0.263349576949653</v>
      </c>
      <c r="E11" s="17">
        <v>0.24755180776466901</v>
      </c>
      <c r="F11" s="17"/>
      <c r="G11" s="17">
        <v>0.28317533127799399</v>
      </c>
      <c r="H11" s="17">
        <v>0.242538978071972</v>
      </c>
      <c r="I11" s="17">
        <v>0.26367192407516199</v>
      </c>
      <c r="J11" s="17">
        <v>0.25692710475205999</v>
      </c>
      <c r="K11" s="17">
        <v>0.26080155463086702</v>
      </c>
      <c r="L11" s="17">
        <v>0.23227016700338399</v>
      </c>
      <c r="M11" s="17"/>
      <c r="N11" s="17">
        <v>0.399518833425347</v>
      </c>
      <c r="O11" s="17">
        <v>0.25931324620643098</v>
      </c>
      <c r="P11" s="17">
        <v>0.22752818628484101</v>
      </c>
      <c r="Q11" s="17">
        <v>0.26409633114085901</v>
      </c>
      <c r="R11" s="17">
        <v>0.29316014227690301</v>
      </c>
      <c r="S11" s="17">
        <v>0.25671309428792</v>
      </c>
      <c r="T11" s="17">
        <v>0.27541573185141899</v>
      </c>
      <c r="U11" s="17">
        <v>0.20545782374330099</v>
      </c>
      <c r="V11" s="17">
        <v>0.231723459173896</v>
      </c>
      <c r="W11" s="17"/>
      <c r="X11" s="17">
        <v>0.26437224988598301</v>
      </c>
      <c r="Y11" s="17">
        <v>0.25043963727847601</v>
      </c>
    </row>
    <row r="12" spans="2:25" x14ac:dyDescent="0.35">
      <c r="B12" s="18" t="s">
        <v>323</v>
      </c>
      <c r="C12" s="17">
        <v>0.36497042992195999</v>
      </c>
      <c r="D12" s="17">
        <v>0.35569086582056397</v>
      </c>
      <c r="E12" s="17">
        <v>0.376559483138934</v>
      </c>
      <c r="F12" s="17"/>
      <c r="G12" s="17">
        <v>0.31775632836342999</v>
      </c>
      <c r="H12" s="17">
        <v>0.33542688741440602</v>
      </c>
      <c r="I12" s="17">
        <v>0.34652288182268298</v>
      </c>
      <c r="J12" s="17">
        <v>0.38316503021475301</v>
      </c>
      <c r="K12" s="17">
        <v>0.419276866705805</v>
      </c>
      <c r="L12" s="17">
        <v>0.37769617125003502</v>
      </c>
      <c r="M12" s="17"/>
      <c r="N12" s="17">
        <v>0.36013055687092799</v>
      </c>
      <c r="O12" s="17">
        <v>0.42027605659321299</v>
      </c>
      <c r="P12" s="17">
        <v>0.418483958345026</v>
      </c>
      <c r="Q12" s="17">
        <v>0.40768273464062899</v>
      </c>
      <c r="R12" s="17">
        <v>0.21131258665808</v>
      </c>
      <c r="S12" s="17">
        <v>0.43507604685701801</v>
      </c>
      <c r="T12" s="17">
        <v>0.39481130051153002</v>
      </c>
      <c r="U12" s="17">
        <v>0.23910566389523899</v>
      </c>
      <c r="V12" s="17">
        <v>0.47439217391545802</v>
      </c>
      <c r="W12" s="17"/>
      <c r="X12" s="17">
        <v>0.317571996460143</v>
      </c>
      <c r="Y12" s="17">
        <v>0.40372376936054599</v>
      </c>
    </row>
    <row r="13" spans="2:25" x14ac:dyDescent="0.35">
      <c r="B13" s="18" t="s">
        <v>324</v>
      </c>
      <c r="C13" s="19">
        <v>4.5065330308033398E-2</v>
      </c>
      <c r="D13" s="19">
        <v>2.4656842120274199E-2</v>
      </c>
      <c r="E13" s="19">
        <v>6.9360455113799693E-2</v>
      </c>
      <c r="F13" s="19"/>
      <c r="G13" s="19">
        <v>4.46887189629811E-2</v>
      </c>
      <c r="H13" s="19">
        <v>4.7019435554622402E-2</v>
      </c>
      <c r="I13" s="19">
        <v>3.6826541007238103E-2</v>
      </c>
      <c r="J13" s="19">
        <v>4.3433081528684497E-2</v>
      </c>
      <c r="K13" s="19">
        <v>5.4844836516834201E-2</v>
      </c>
      <c r="L13" s="19">
        <v>5.0942074392713303E-2</v>
      </c>
      <c r="M13" s="19"/>
      <c r="N13" s="19">
        <v>1.6332691741366499E-2</v>
      </c>
      <c r="O13" s="19">
        <v>2.6944152328283899E-2</v>
      </c>
      <c r="P13" s="19">
        <v>3.2092774452621597E-2</v>
      </c>
      <c r="Q13" s="19">
        <v>4.7136289118502997E-2</v>
      </c>
      <c r="R13" s="19">
        <v>4.0517747100053597E-2</v>
      </c>
      <c r="S13" s="19">
        <v>9.0758820225687403E-2</v>
      </c>
      <c r="T13" s="19">
        <v>3.2416496888404402E-2</v>
      </c>
      <c r="U13" s="19">
        <v>2.54094592255673E-2</v>
      </c>
      <c r="V13" s="19">
        <v>6.7857421070078999E-2</v>
      </c>
      <c r="W13" s="19"/>
      <c r="X13" s="19">
        <v>3.4102396218413503E-2</v>
      </c>
      <c r="Y13" s="19">
        <v>5.40287131666701E-2</v>
      </c>
    </row>
    <row r="14" spans="2:25" x14ac:dyDescent="0.35">
      <c r="B14" s="16" t="s">
        <v>534</v>
      </c>
    </row>
    <row r="15" spans="2:25" x14ac:dyDescent="0.35">
      <c r="B15" t="s">
        <v>51</v>
      </c>
    </row>
    <row r="16" spans="2:25" x14ac:dyDescent="0.35">
      <c r="B16" t="s">
        <v>52</v>
      </c>
    </row>
    <row r="18" spans="2:2" x14ac:dyDescent="0.35">
      <c r="B18" s="8" t="str">
        <f>HYPERLINK("#'Contents'!A1", "Return to Contents")</f>
        <v>Return to Contents</v>
      </c>
    </row>
  </sheetData>
  <mergeCells count="5">
    <mergeCell ref="D5:E5"/>
    <mergeCell ref="G5:L5"/>
    <mergeCell ref="N5:V5"/>
    <mergeCell ref="X5:Y5"/>
    <mergeCell ref="D2:W2"/>
  </mergeCells>
  <pageMargins left="0.7" right="0.7" top="0.75" bottom="0.75" header="0.3" footer="0.3"/>
  <pageSetup paperSize="9" orientation="portrait" horizontalDpi="300" verticalDpi="300"/>
  <drawing r:id="rId1"/>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dimension ref="B2:F18"/>
  <sheetViews>
    <sheetView showGridLines="0" workbookViewId="0">
      <pane xSplit="2" topLeftCell="C1" activePane="topRight" state="frozen"/>
      <selection pane="topRight" activeCell="B12" sqref="B12"/>
    </sheetView>
  </sheetViews>
  <sheetFormatPr defaultColWidth="10.90625" defaultRowHeight="14.5" x14ac:dyDescent="0.35"/>
  <cols>
    <col min="2" max="2" width="25.7265625" customWidth="1"/>
    <col min="3" max="6" width="20.7265625" customWidth="1"/>
  </cols>
  <sheetData>
    <row r="2" spans="2:6" ht="40" customHeight="1" x14ac:dyDescent="0.35">
      <c r="D2" s="30" t="s">
        <v>337</v>
      </c>
      <c r="E2" s="26"/>
      <c r="F2" s="26"/>
    </row>
    <row r="6" spans="2:6" ht="50" customHeight="1" x14ac:dyDescent="0.35">
      <c r="B6" s="20" t="s">
        <v>15</v>
      </c>
      <c r="C6" s="20" t="s">
        <v>335</v>
      </c>
      <c r="D6" s="20" t="s">
        <v>336</v>
      </c>
      <c r="E6" s="20" t="s">
        <v>316</v>
      </c>
    </row>
    <row r="7" spans="2:6" ht="29" x14ac:dyDescent="0.35">
      <c r="B7" s="18" t="s">
        <v>321</v>
      </c>
      <c r="C7" s="17">
        <v>0.26418489675394002</v>
      </c>
      <c r="D7" s="17">
        <v>0.22849963217842501</v>
      </c>
      <c r="E7" s="17">
        <v>0.13050886712953</v>
      </c>
    </row>
    <row r="8" spans="2:6" x14ac:dyDescent="0.35">
      <c r="B8" s="18" t="s">
        <v>277</v>
      </c>
      <c r="C8" s="17">
        <v>0.35438429638151397</v>
      </c>
      <c r="D8" s="17">
        <v>0.41641843869018402</v>
      </c>
      <c r="E8" s="17">
        <v>0.31257087372044601</v>
      </c>
    </row>
    <row r="9" spans="2:6" x14ac:dyDescent="0.35">
      <c r="B9" s="18" t="s">
        <v>322</v>
      </c>
      <c r="C9" s="17">
        <v>0.18548048498416</v>
      </c>
      <c r="D9" s="17">
        <v>0.19837860222496201</v>
      </c>
      <c r="E9" s="17">
        <v>0.28430586129735402</v>
      </c>
    </row>
    <row r="10" spans="2:6" x14ac:dyDescent="0.35">
      <c r="B10" s="18" t="s">
        <v>323</v>
      </c>
      <c r="C10" s="17">
        <v>0.188066203138955</v>
      </c>
      <c r="D10" s="17">
        <v>0.152893339191424</v>
      </c>
      <c r="E10" s="17">
        <v>0.26991721480686898</v>
      </c>
    </row>
    <row r="11" spans="2:6" x14ac:dyDescent="0.35">
      <c r="B11" s="18" t="s">
        <v>324</v>
      </c>
      <c r="C11" s="17">
        <v>7.88411874143107E-3</v>
      </c>
      <c r="D11" s="17">
        <v>3.8099877150048799E-3</v>
      </c>
      <c r="E11" s="17">
        <v>2.6971830458012102E-3</v>
      </c>
    </row>
    <row r="12" spans="2:6" x14ac:dyDescent="0.35">
      <c r="B12" s="16" t="s">
        <v>534</v>
      </c>
      <c r="C12" s="16"/>
      <c r="D12" s="16"/>
      <c r="E12" s="16"/>
    </row>
    <row r="13" spans="2:6" x14ac:dyDescent="0.35">
      <c r="B13" t="s">
        <v>51</v>
      </c>
    </row>
    <row r="14" spans="2:6" x14ac:dyDescent="0.35">
      <c r="B14" t="s">
        <v>52</v>
      </c>
    </row>
    <row r="18" spans="2:2" x14ac:dyDescent="0.35">
      <c r="B18" s="8" t="str">
        <f>HYPERLINK("#'Contents'!A1", "Return to Contents")</f>
        <v>Return to Contents</v>
      </c>
    </row>
  </sheetData>
  <mergeCells count="1">
    <mergeCell ref="D2:F2"/>
  </mergeCells>
  <pageMargins left="0.7" right="0.7" top="0.75" bottom="0.75" header="0.3" footer="0.3"/>
  <pageSetup paperSize="9" orientation="portrait" horizontalDpi="300" verticalDpi="300"/>
  <drawing r:id="rId1"/>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dimension ref="B2:Y18"/>
  <sheetViews>
    <sheetView showGridLines="0" topLeftCell="A7" workbookViewId="0">
      <pane xSplit="2" topLeftCell="C1" activePane="topRight" state="frozen"/>
      <selection pane="topRight" activeCell="B14" sqref="B14"/>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s>
  <sheetData>
    <row r="2" spans="2:25" ht="40" customHeight="1" x14ac:dyDescent="0.35">
      <c r="D2" s="30" t="s">
        <v>338</v>
      </c>
      <c r="E2" s="26"/>
      <c r="F2" s="26"/>
      <c r="G2" s="26"/>
      <c r="H2" s="26"/>
      <c r="I2" s="26"/>
      <c r="J2" s="26"/>
      <c r="K2" s="26"/>
      <c r="L2" s="26"/>
      <c r="M2" s="26"/>
      <c r="N2" s="26"/>
      <c r="O2" s="26"/>
      <c r="P2" s="26"/>
      <c r="Q2" s="26"/>
      <c r="R2" s="26"/>
      <c r="S2" s="26"/>
      <c r="T2" s="26"/>
      <c r="U2" s="26"/>
      <c r="V2" s="26"/>
      <c r="W2" s="26"/>
    </row>
    <row r="5" spans="2:25" ht="30" customHeight="1" x14ac:dyDescent="0.35">
      <c r="B5" s="15"/>
      <c r="C5" s="15"/>
      <c r="D5" s="29" t="s">
        <v>38</v>
      </c>
      <c r="E5" s="29"/>
      <c r="F5" s="15"/>
      <c r="G5" s="29" t="s">
        <v>39</v>
      </c>
      <c r="H5" s="29"/>
      <c r="I5" s="29"/>
      <c r="J5" s="29"/>
      <c r="K5" s="29"/>
      <c r="L5" s="29"/>
      <c r="M5" s="15"/>
      <c r="N5" s="29" t="s">
        <v>40</v>
      </c>
      <c r="O5" s="29"/>
      <c r="P5" s="29"/>
      <c r="Q5" s="29"/>
      <c r="R5" s="29"/>
      <c r="S5" s="29"/>
      <c r="T5" s="29"/>
      <c r="U5" s="29"/>
      <c r="V5" s="29"/>
      <c r="W5" s="15"/>
      <c r="X5" s="29" t="s">
        <v>41</v>
      </c>
      <c r="Y5" s="29"/>
    </row>
    <row r="6" spans="2:25" ht="29"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row>
    <row r="7" spans="2:25" ht="30" customHeight="1" x14ac:dyDescent="0.35">
      <c r="B7" s="10" t="s">
        <v>19</v>
      </c>
      <c r="C7" s="10">
        <v>3716</v>
      </c>
      <c r="D7" s="10">
        <v>1971</v>
      </c>
      <c r="E7" s="10">
        <v>1736</v>
      </c>
      <c r="F7" s="10"/>
      <c r="G7" s="10">
        <v>251</v>
      </c>
      <c r="H7" s="10">
        <v>847</v>
      </c>
      <c r="I7" s="10">
        <v>873</v>
      </c>
      <c r="J7" s="10">
        <v>919</v>
      </c>
      <c r="K7" s="10">
        <v>652</v>
      </c>
      <c r="L7" s="10">
        <v>174</v>
      </c>
      <c r="M7" s="10"/>
      <c r="N7" s="10">
        <v>101</v>
      </c>
      <c r="O7" s="10">
        <v>101</v>
      </c>
      <c r="P7" s="10">
        <v>508</v>
      </c>
      <c r="Q7" s="10">
        <v>536</v>
      </c>
      <c r="R7" s="10">
        <v>488</v>
      </c>
      <c r="S7" s="10">
        <v>546</v>
      </c>
      <c r="T7" s="10">
        <v>648</v>
      </c>
      <c r="U7" s="10">
        <v>573</v>
      </c>
      <c r="V7" s="10">
        <v>215</v>
      </c>
      <c r="W7" s="10"/>
      <c r="X7" s="10">
        <v>1783</v>
      </c>
      <c r="Y7" s="10">
        <v>1933</v>
      </c>
    </row>
    <row r="8" spans="2:25" ht="30" customHeight="1" x14ac:dyDescent="0.35">
      <c r="B8" s="11" t="s">
        <v>20</v>
      </c>
      <c r="C8" s="11">
        <v>3642</v>
      </c>
      <c r="D8" s="11">
        <v>1990</v>
      </c>
      <c r="E8" s="11">
        <v>1643</v>
      </c>
      <c r="F8" s="11"/>
      <c r="G8" s="11">
        <v>263</v>
      </c>
      <c r="H8" s="11">
        <v>804</v>
      </c>
      <c r="I8" s="11">
        <v>885</v>
      </c>
      <c r="J8" s="11">
        <v>875</v>
      </c>
      <c r="K8" s="11">
        <v>630</v>
      </c>
      <c r="L8" s="11">
        <v>185</v>
      </c>
      <c r="M8" s="11"/>
      <c r="N8" s="11">
        <v>106</v>
      </c>
      <c r="O8" s="11">
        <v>95</v>
      </c>
      <c r="P8" s="11">
        <v>509</v>
      </c>
      <c r="Q8" s="11">
        <v>549</v>
      </c>
      <c r="R8" s="11">
        <v>458</v>
      </c>
      <c r="S8" s="11">
        <v>556</v>
      </c>
      <c r="T8" s="11">
        <v>615</v>
      </c>
      <c r="U8" s="11">
        <v>531</v>
      </c>
      <c r="V8" s="11">
        <v>224</v>
      </c>
      <c r="W8" s="11"/>
      <c r="X8" s="11">
        <v>1638</v>
      </c>
      <c r="Y8" s="11">
        <v>2004</v>
      </c>
    </row>
    <row r="9" spans="2:25" ht="29" x14ac:dyDescent="0.35">
      <c r="B9" s="18" t="s">
        <v>321</v>
      </c>
      <c r="C9" s="17">
        <v>0.26418489675394002</v>
      </c>
      <c r="D9" s="17">
        <v>0.259808077882896</v>
      </c>
      <c r="E9" s="17">
        <v>0.27037188806677198</v>
      </c>
      <c r="F9" s="17"/>
      <c r="G9" s="17">
        <v>0.25017619307082301</v>
      </c>
      <c r="H9" s="17">
        <v>0.26849460908643702</v>
      </c>
      <c r="I9" s="17">
        <v>0.27924026625394399</v>
      </c>
      <c r="J9" s="17">
        <v>0.25105666178165098</v>
      </c>
      <c r="K9" s="17">
        <v>0.245648167965693</v>
      </c>
      <c r="L9" s="17">
        <v>0.31871402628159901</v>
      </c>
      <c r="M9" s="17"/>
      <c r="N9" s="17">
        <v>0.29212262589389398</v>
      </c>
      <c r="O9" s="17">
        <v>0.23330626127624399</v>
      </c>
      <c r="P9" s="17">
        <v>0.21905803129999901</v>
      </c>
      <c r="Q9" s="17">
        <v>0.22325935899969701</v>
      </c>
      <c r="R9" s="17">
        <v>0.22733886017962501</v>
      </c>
      <c r="S9" s="17">
        <v>0.294382786311711</v>
      </c>
      <c r="T9" s="17">
        <v>0.24009744507175701</v>
      </c>
      <c r="U9" s="17">
        <v>0.38121913079120701</v>
      </c>
      <c r="V9" s="17">
        <v>0.25615245144044702</v>
      </c>
      <c r="W9" s="17"/>
      <c r="X9" s="17">
        <v>0.37657389075084702</v>
      </c>
      <c r="Y9" s="17">
        <v>0.172294753653916</v>
      </c>
    </row>
    <row r="10" spans="2:25" x14ac:dyDescent="0.35">
      <c r="B10" s="18" t="s">
        <v>277</v>
      </c>
      <c r="C10" s="17">
        <v>0.35438429638151397</v>
      </c>
      <c r="D10" s="17">
        <v>0.37059825502390098</v>
      </c>
      <c r="E10" s="17">
        <v>0.33540270560718199</v>
      </c>
      <c r="F10" s="17"/>
      <c r="G10" s="17">
        <v>0.375977824982273</v>
      </c>
      <c r="H10" s="17">
        <v>0.37233505775400499</v>
      </c>
      <c r="I10" s="17">
        <v>0.37144676757075001</v>
      </c>
      <c r="J10" s="17">
        <v>0.34063046380156797</v>
      </c>
      <c r="K10" s="17">
        <v>0.32259805121547502</v>
      </c>
      <c r="L10" s="17">
        <v>0.337375827492081</v>
      </c>
      <c r="M10" s="17"/>
      <c r="N10" s="17">
        <v>0.30343421840461599</v>
      </c>
      <c r="O10" s="17">
        <v>0.34228760197348301</v>
      </c>
      <c r="P10" s="17">
        <v>0.31903812390300901</v>
      </c>
      <c r="Q10" s="17">
        <v>0.325436263103003</v>
      </c>
      <c r="R10" s="17">
        <v>0.39587250319804301</v>
      </c>
      <c r="S10" s="17">
        <v>0.37929110600359001</v>
      </c>
      <c r="T10" s="17">
        <v>0.394573202673281</v>
      </c>
      <c r="U10" s="17">
        <v>0.300186397296685</v>
      </c>
      <c r="V10" s="17">
        <v>0.40609393199611299</v>
      </c>
      <c r="W10" s="17"/>
      <c r="X10" s="17">
        <v>0.38123568835371102</v>
      </c>
      <c r="Y10" s="17">
        <v>0.33243038289753002</v>
      </c>
    </row>
    <row r="11" spans="2:25" x14ac:dyDescent="0.35">
      <c r="B11" s="18" t="s">
        <v>322</v>
      </c>
      <c r="C11" s="17">
        <v>0.18548048498416</v>
      </c>
      <c r="D11" s="17">
        <v>0.19263986655144499</v>
      </c>
      <c r="E11" s="17">
        <v>0.175384604482513</v>
      </c>
      <c r="F11" s="17"/>
      <c r="G11" s="17">
        <v>0.200645563099108</v>
      </c>
      <c r="H11" s="17">
        <v>0.19990930839981799</v>
      </c>
      <c r="I11" s="17">
        <v>0.18036185427170001</v>
      </c>
      <c r="J11" s="17">
        <v>0.19234650581896101</v>
      </c>
      <c r="K11" s="17">
        <v>0.18031004492539901</v>
      </c>
      <c r="L11" s="17">
        <v>0.110706516243691</v>
      </c>
      <c r="M11" s="17"/>
      <c r="N11" s="17">
        <v>0.179034648017663</v>
      </c>
      <c r="O11" s="17">
        <v>0.25703051615498201</v>
      </c>
      <c r="P11" s="17">
        <v>0.210062243107215</v>
      </c>
      <c r="Q11" s="17">
        <v>0.22239779007097901</v>
      </c>
      <c r="R11" s="17">
        <v>0.21205371926403299</v>
      </c>
      <c r="S11" s="17">
        <v>0.16436202460342</v>
      </c>
      <c r="T11" s="17">
        <v>0.16438606213257101</v>
      </c>
      <c r="U11" s="17">
        <v>0.142341858019878</v>
      </c>
      <c r="V11" s="17">
        <v>0.170136404054019</v>
      </c>
      <c r="W11" s="17"/>
      <c r="X11" s="17">
        <v>0.14443621155420799</v>
      </c>
      <c r="Y11" s="17">
        <v>0.21903861220628501</v>
      </c>
    </row>
    <row r="12" spans="2:25" x14ac:dyDescent="0.35">
      <c r="B12" s="18" t="s">
        <v>323</v>
      </c>
      <c r="C12" s="17">
        <v>0.188066203138955</v>
      </c>
      <c r="D12" s="17">
        <v>0.171703683183832</v>
      </c>
      <c r="E12" s="17">
        <v>0.20772316419464701</v>
      </c>
      <c r="F12" s="17"/>
      <c r="G12" s="17">
        <v>0.164326154952433</v>
      </c>
      <c r="H12" s="17">
        <v>0.15173085879988299</v>
      </c>
      <c r="I12" s="17">
        <v>0.16414519670821401</v>
      </c>
      <c r="J12" s="17">
        <v>0.20651756637527999</v>
      </c>
      <c r="K12" s="17">
        <v>0.23906127932677099</v>
      </c>
      <c r="L12" s="17">
        <v>0.233203629982628</v>
      </c>
      <c r="M12" s="17"/>
      <c r="N12" s="17">
        <v>0.217131434931362</v>
      </c>
      <c r="O12" s="17">
        <v>0.16737562059529201</v>
      </c>
      <c r="P12" s="17">
        <v>0.24097215993923499</v>
      </c>
      <c r="Q12" s="17">
        <v>0.218549477595505</v>
      </c>
      <c r="R12" s="17">
        <v>0.159571934298777</v>
      </c>
      <c r="S12" s="17">
        <v>0.15202062516603801</v>
      </c>
      <c r="T12" s="17">
        <v>0.19800759515924601</v>
      </c>
      <c r="U12" s="17">
        <v>0.16948231441259601</v>
      </c>
      <c r="V12" s="17">
        <v>0.152750640123304</v>
      </c>
      <c r="W12" s="17"/>
      <c r="X12" s="17">
        <v>9.2652870689326206E-2</v>
      </c>
      <c r="Y12" s="17">
        <v>0.26607690917559601</v>
      </c>
    </row>
    <row r="13" spans="2:25" x14ac:dyDescent="0.35">
      <c r="B13" s="18" t="s">
        <v>324</v>
      </c>
      <c r="C13" s="19">
        <v>7.88411874143107E-3</v>
      </c>
      <c r="D13" s="19">
        <v>5.2501173579256001E-3</v>
      </c>
      <c r="E13" s="19">
        <v>1.1117637648885501E-2</v>
      </c>
      <c r="F13" s="19"/>
      <c r="G13" s="19">
        <v>8.87426389536374E-3</v>
      </c>
      <c r="H13" s="19">
        <v>7.5301659598558703E-3</v>
      </c>
      <c r="I13" s="19">
        <v>4.8059151953915797E-3</v>
      </c>
      <c r="J13" s="19">
        <v>9.4488022225393802E-3</v>
      </c>
      <c r="K13" s="19">
        <v>1.23824565666623E-2</v>
      </c>
      <c r="L13" s="19">
        <v>0</v>
      </c>
      <c r="M13" s="19"/>
      <c r="N13" s="19">
        <v>8.2770727524654492E-3</v>
      </c>
      <c r="O13" s="19">
        <v>0</v>
      </c>
      <c r="P13" s="19">
        <v>1.0869441750541799E-2</v>
      </c>
      <c r="Q13" s="19">
        <v>1.03571102308155E-2</v>
      </c>
      <c r="R13" s="19">
        <v>5.1629830595224203E-3</v>
      </c>
      <c r="S13" s="19">
        <v>9.9434579152421695E-3</v>
      </c>
      <c r="T13" s="19">
        <v>2.9356949631445398E-3</v>
      </c>
      <c r="U13" s="19">
        <v>6.7702994796349303E-3</v>
      </c>
      <c r="V13" s="19">
        <v>1.48665723861157E-2</v>
      </c>
      <c r="W13" s="19"/>
      <c r="X13" s="19">
        <v>5.1013386519073497E-3</v>
      </c>
      <c r="Y13" s="19">
        <v>1.01593420666729E-2</v>
      </c>
    </row>
    <row r="14" spans="2:25" x14ac:dyDescent="0.35">
      <c r="B14" s="16" t="s">
        <v>534</v>
      </c>
    </row>
    <row r="15" spans="2:25" x14ac:dyDescent="0.35">
      <c r="B15" t="s">
        <v>51</v>
      </c>
    </row>
    <row r="16" spans="2:25" x14ac:dyDescent="0.35">
      <c r="B16" t="s">
        <v>52</v>
      </c>
    </row>
    <row r="18" spans="2:2" x14ac:dyDescent="0.35">
      <c r="B18" s="8" t="str">
        <f>HYPERLINK("#'Contents'!A1", "Return to Contents")</f>
        <v>Return to Contents</v>
      </c>
    </row>
  </sheetData>
  <mergeCells count="5">
    <mergeCell ref="D5:E5"/>
    <mergeCell ref="G5:L5"/>
    <mergeCell ref="N5:V5"/>
    <mergeCell ref="X5:Y5"/>
    <mergeCell ref="D2:W2"/>
  </mergeCells>
  <pageMargins left="0.7" right="0.7" top="0.75" bottom="0.75" header="0.3" footer="0.3"/>
  <pageSetup paperSize="9" orientation="portrait" horizontalDpi="300" verticalDpi="300"/>
  <drawing r:id="rId1"/>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dimension ref="B2:Y18"/>
  <sheetViews>
    <sheetView showGridLines="0" topLeftCell="A7" workbookViewId="0">
      <pane xSplit="2" topLeftCell="C1" activePane="topRight" state="frozen"/>
      <selection pane="topRight" activeCell="B14" sqref="B14"/>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s>
  <sheetData>
    <row r="2" spans="2:25" ht="40" customHeight="1" x14ac:dyDescent="0.35">
      <c r="D2" s="30" t="s">
        <v>339</v>
      </c>
      <c r="E2" s="26"/>
      <c r="F2" s="26"/>
      <c r="G2" s="26"/>
      <c r="H2" s="26"/>
      <c r="I2" s="26"/>
      <c r="J2" s="26"/>
      <c r="K2" s="26"/>
      <c r="L2" s="26"/>
      <c r="M2" s="26"/>
      <c r="N2" s="26"/>
      <c r="O2" s="26"/>
      <c r="P2" s="26"/>
      <c r="Q2" s="26"/>
      <c r="R2" s="26"/>
      <c r="S2" s="26"/>
      <c r="T2" s="26"/>
      <c r="U2" s="26"/>
      <c r="V2" s="26"/>
      <c r="W2" s="26"/>
    </row>
    <row r="5" spans="2:25" ht="30" customHeight="1" x14ac:dyDescent="0.35">
      <c r="B5" s="15"/>
      <c r="C5" s="15"/>
      <c r="D5" s="29" t="s">
        <v>38</v>
      </c>
      <c r="E5" s="29"/>
      <c r="F5" s="15"/>
      <c r="G5" s="29" t="s">
        <v>39</v>
      </c>
      <c r="H5" s="29"/>
      <c r="I5" s="29"/>
      <c r="J5" s="29"/>
      <c r="K5" s="29"/>
      <c r="L5" s="29"/>
      <c r="M5" s="15"/>
      <c r="N5" s="29" t="s">
        <v>40</v>
      </c>
      <c r="O5" s="29"/>
      <c r="P5" s="29"/>
      <c r="Q5" s="29"/>
      <c r="R5" s="29"/>
      <c r="S5" s="29"/>
      <c r="T5" s="29"/>
      <c r="U5" s="29"/>
      <c r="V5" s="29"/>
      <c r="W5" s="15"/>
      <c r="X5" s="29" t="s">
        <v>41</v>
      </c>
      <c r="Y5" s="29"/>
    </row>
    <row r="6" spans="2:25" ht="29"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row>
    <row r="7" spans="2:25" ht="30" customHeight="1" x14ac:dyDescent="0.35">
      <c r="B7" s="10" t="s">
        <v>19</v>
      </c>
      <c r="C7" s="10">
        <v>3716</v>
      </c>
      <c r="D7" s="10">
        <v>1971</v>
      </c>
      <c r="E7" s="10">
        <v>1736</v>
      </c>
      <c r="F7" s="10"/>
      <c r="G7" s="10">
        <v>251</v>
      </c>
      <c r="H7" s="10">
        <v>847</v>
      </c>
      <c r="I7" s="10">
        <v>873</v>
      </c>
      <c r="J7" s="10">
        <v>919</v>
      </c>
      <c r="K7" s="10">
        <v>652</v>
      </c>
      <c r="L7" s="10">
        <v>174</v>
      </c>
      <c r="M7" s="10"/>
      <c r="N7" s="10">
        <v>101</v>
      </c>
      <c r="O7" s="10">
        <v>101</v>
      </c>
      <c r="P7" s="10">
        <v>508</v>
      </c>
      <c r="Q7" s="10">
        <v>536</v>
      </c>
      <c r="R7" s="10">
        <v>488</v>
      </c>
      <c r="S7" s="10">
        <v>546</v>
      </c>
      <c r="T7" s="10">
        <v>648</v>
      </c>
      <c r="U7" s="10">
        <v>573</v>
      </c>
      <c r="V7" s="10">
        <v>215</v>
      </c>
      <c r="W7" s="10"/>
      <c r="X7" s="10">
        <v>1783</v>
      </c>
      <c r="Y7" s="10">
        <v>1933</v>
      </c>
    </row>
    <row r="8" spans="2:25" ht="30" customHeight="1" x14ac:dyDescent="0.35">
      <c r="B8" s="11" t="s">
        <v>20</v>
      </c>
      <c r="C8" s="11">
        <v>3642</v>
      </c>
      <c r="D8" s="11">
        <v>1990</v>
      </c>
      <c r="E8" s="11">
        <v>1643</v>
      </c>
      <c r="F8" s="11"/>
      <c r="G8" s="11">
        <v>263</v>
      </c>
      <c r="H8" s="11">
        <v>804</v>
      </c>
      <c r="I8" s="11">
        <v>885</v>
      </c>
      <c r="J8" s="11">
        <v>875</v>
      </c>
      <c r="K8" s="11">
        <v>630</v>
      </c>
      <c r="L8" s="11">
        <v>185</v>
      </c>
      <c r="M8" s="11"/>
      <c r="N8" s="11">
        <v>106</v>
      </c>
      <c r="O8" s="11">
        <v>95</v>
      </c>
      <c r="P8" s="11">
        <v>509</v>
      </c>
      <c r="Q8" s="11">
        <v>549</v>
      </c>
      <c r="R8" s="11">
        <v>458</v>
      </c>
      <c r="S8" s="11">
        <v>556</v>
      </c>
      <c r="T8" s="11">
        <v>615</v>
      </c>
      <c r="U8" s="11">
        <v>531</v>
      </c>
      <c r="V8" s="11">
        <v>224</v>
      </c>
      <c r="W8" s="11"/>
      <c r="X8" s="11">
        <v>1638</v>
      </c>
      <c r="Y8" s="11">
        <v>2004</v>
      </c>
    </row>
    <row r="9" spans="2:25" ht="29" x14ac:dyDescent="0.35">
      <c r="B9" s="18" t="s">
        <v>321</v>
      </c>
      <c r="C9" s="17">
        <v>0.22849963217842501</v>
      </c>
      <c r="D9" s="17">
        <v>0.23263363299393999</v>
      </c>
      <c r="E9" s="17">
        <v>0.22299202962711101</v>
      </c>
      <c r="F9" s="17"/>
      <c r="G9" s="17">
        <v>0.20971463697093401</v>
      </c>
      <c r="H9" s="17">
        <v>0.24067859552571</v>
      </c>
      <c r="I9" s="17">
        <v>0.23141900642958901</v>
      </c>
      <c r="J9" s="17">
        <v>0.213044355440452</v>
      </c>
      <c r="K9" s="17">
        <v>0.22085804194454101</v>
      </c>
      <c r="L9" s="17">
        <v>0.28759063328650503</v>
      </c>
      <c r="M9" s="17"/>
      <c r="N9" s="17">
        <v>9.21425699882404E-2</v>
      </c>
      <c r="O9" s="17">
        <v>0.27377444224541397</v>
      </c>
      <c r="P9" s="17">
        <v>0.23575417247840599</v>
      </c>
      <c r="Q9" s="17">
        <v>0.17504104192325501</v>
      </c>
      <c r="R9" s="17">
        <v>0.20176541802768799</v>
      </c>
      <c r="S9" s="17">
        <v>0.28779373184540902</v>
      </c>
      <c r="T9" s="17">
        <v>0.15795327272091</v>
      </c>
      <c r="U9" s="17">
        <v>0.362538398146319</v>
      </c>
      <c r="V9" s="17">
        <v>0.17203374769271401</v>
      </c>
      <c r="W9" s="17"/>
      <c r="X9" s="17">
        <v>0.29315663464007002</v>
      </c>
      <c r="Y9" s="17">
        <v>0.175635548273708</v>
      </c>
    </row>
    <row r="10" spans="2:25" x14ac:dyDescent="0.35">
      <c r="B10" s="18" t="s">
        <v>277</v>
      </c>
      <c r="C10" s="17">
        <v>0.41641843869018402</v>
      </c>
      <c r="D10" s="17">
        <v>0.42660757863186599</v>
      </c>
      <c r="E10" s="17">
        <v>0.40389378510086898</v>
      </c>
      <c r="F10" s="17"/>
      <c r="G10" s="17">
        <v>0.45357513544102401</v>
      </c>
      <c r="H10" s="17">
        <v>0.41713084329531902</v>
      </c>
      <c r="I10" s="17">
        <v>0.41670395084148398</v>
      </c>
      <c r="J10" s="17">
        <v>0.41493460909242502</v>
      </c>
      <c r="K10" s="17">
        <v>0.397112048995447</v>
      </c>
      <c r="L10" s="17">
        <v>0.43190371509846198</v>
      </c>
      <c r="M10" s="17"/>
      <c r="N10" s="17">
        <v>0.39286727549786599</v>
      </c>
      <c r="O10" s="17">
        <v>0.43736521557088898</v>
      </c>
      <c r="P10" s="17">
        <v>0.35148167837952699</v>
      </c>
      <c r="Q10" s="17">
        <v>0.42234308400346199</v>
      </c>
      <c r="R10" s="17">
        <v>0.50408018422231604</v>
      </c>
      <c r="S10" s="17">
        <v>0.42765195398589601</v>
      </c>
      <c r="T10" s="17">
        <v>0.420277309018741</v>
      </c>
      <c r="U10" s="17">
        <v>0.382932120247508</v>
      </c>
      <c r="V10" s="17">
        <v>0.41308846153627699</v>
      </c>
      <c r="W10" s="17"/>
      <c r="X10" s="17">
        <v>0.43198545730892701</v>
      </c>
      <c r="Y10" s="17">
        <v>0.40369071938560203</v>
      </c>
    </row>
    <row r="11" spans="2:25" x14ac:dyDescent="0.35">
      <c r="B11" s="18" t="s">
        <v>322</v>
      </c>
      <c r="C11" s="17">
        <v>0.19837860222496201</v>
      </c>
      <c r="D11" s="17">
        <v>0.20033035391838</v>
      </c>
      <c r="E11" s="17">
        <v>0.196402421169177</v>
      </c>
      <c r="F11" s="17"/>
      <c r="G11" s="17">
        <v>0.23805198589715701</v>
      </c>
      <c r="H11" s="17">
        <v>0.19530840013218301</v>
      </c>
      <c r="I11" s="17">
        <v>0.20611937306824499</v>
      </c>
      <c r="J11" s="17">
        <v>0.19178630776703801</v>
      </c>
      <c r="K11" s="17">
        <v>0.20292316034487701</v>
      </c>
      <c r="L11" s="17">
        <v>0.13386845947457901</v>
      </c>
      <c r="M11" s="17"/>
      <c r="N11" s="17">
        <v>0.297054611035106</v>
      </c>
      <c r="O11" s="17">
        <v>0.21358386089011799</v>
      </c>
      <c r="P11" s="17">
        <v>0.18176283395048501</v>
      </c>
      <c r="Q11" s="17">
        <v>0.22349085619096501</v>
      </c>
      <c r="R11" s="17">
        <v>0.19727321074481499</v>
      </c>
      <c r="S11" s="17">
        <v>0.162880577171955</v>
      </c>
      <c r="T11" s="17">
        <v>0.23000483941802299</v>
      </c>
      <c r="U11" s="17">
        <v>0.127361832760613</v>
      </c>
      <c r="V11" s="17">
        <v>0.29327279137023698</v>
      </c>
      <c r="W11" s="17"/>
      <c r="X11" s="17">
        <v>0.18350175917358599</v>
      </c>
      <c r="Y11" s="17">
        <v>0.21054202844893199</v>
      </c>
    </row>
    <row r="12" spans="2:25" x14ac:dyDescent="0.35">
      <c r="B12" s="18" t="s">
        <v>323</v>
      </c>
      <c r="C12" s="17">
        <v>0.152893339191424</v>
      </c>
      <c r="D12" s="17">
        <v>0.136947918045701</v>
      </c>
      <c r="E12" s="17">
        <v>0.17248220781704299</v>
      </c>
      <c r="F12" s="17"/>
      <c r="G12" s="17">
        <v>8.7309186857704502E-2</v>
      </c>
      <c r="H12" s="17">
        <v>0.14080344727229599</v>
      </c>
      <c r="I12" s="17">
        <v>0.14360410723335301</v>
      </c>
      <c r="J12" s="17">
        <v>0.17929567756465001</v>
      </c>
      <c r="K12" s="17">
        <v>0.176511193967365</v>
      </c>
      <c r="L12" s="17">
        <v>0.13775744724212299</v>
      </c>
      <c r="M12" s="17"/>
      <c r="N12" s="17">
        <v>0.19700633144676799</v>
      </c>
      <c r="O12" s="17">
        <v>7.5276481293579903E-2</v>
      </c>
      <c r="P12" s="17">
        <v>0.226070985345349</v>
      </c>
      <c r="Q12" s="17">
        <v>0.17062840871783999</v>
      </c>
      <c r="R12" s="17">
        <v>9.6881187005180697E-2</v>
      </c>
      <c r="S12" s="17">
        <v>0.121673736996741</v>
      </c>
      <c r="T12" s="17">
        <v>0.19176457884232601</v>
      </c>
      <c r="U12" s="17">
        <v>0.118707275565111</v>
      </c>
      <c r="V12" s="17">
        <v>0.121604999400772</v>
      </c>
      <c r="W12" s="17"/>
      <c r="X12" s="17">
        <v>8.9197345481594803E-2</v>
      </c>
      <c r="Y12" s="17">
        <v>0.20497169463124201</v>
      </c>
    </row>
    <row r="13" spans="2:25" x14ac:dyDescent="0.35">
      <c r="B13" s="18" t="s">
        <v>324</v>
      </c>
      <c r="C13" s="19">
        <v>3.8099877150048799E-3</v>
      </c>
      <c r="D13" s="19">
        <v>3.4805164101128498E-3</v>
      </c>
      <c r="E13" s="19">
        <v>4.2295562858000501E-3</v>
      </c>
      <c r="F13" s="19"/>
      <c r="G13" s="19">
        <v>1.1349054833180799E-2</v>
      </c>
      <c r="H13" s="19">
        <v>6.0787137744915797E-3</v>
      </c>
      <c r="I13" s="19">
        <v>2.15356242732876E-3</v>
      </c>
      <c r="J13" s="19">
        <v>9.3905013543472201E-4</v>
      </c>
      <c r="K13" s="19">
        <v>2.5955547477706799E-3</v>
      </c>
      <c r="L13" s="19">
        <v>8.8797448983305906E-3</v>
      </c>
      <c r="M13" s="19"/>
      <c r="N13" s="19">
        <v>2.0929212032020701E-2</v>
      </c>
      <c r="O13" s="19">
        <v>0</v>
      </c>
      <c r="P13" s="19">
        <v>4.9303298462328596E-3</v>
      </c>
      <c r="Q13" s="19">
        <v>8.4966091644775206E-3</v>
      </c>
      <c r="R13" s="19">
        <v>0</v>
      </c>
      <c r="S13" s="19">
        <v>0</v>
      </c>
      <c r="T13" s="19">
        <v>0</v>
      </c>
      <c r="U13" s="19">
        <v>8.4603732804493601E-3</v>
      </c>
      <c r="V13" s="19">
        <v>0</v>
      </c>
      <c r="W13" s="19"/>
      <c r="X13" s="19">
        <v>2.1588033958222798E-3</v>
      </c>
      <c r="Y13" s="19">
        <v>5.1600092605165399E-3</v>
      </c>
    </row>
    <row r="14" spans="2:25" x14ac:dyDescent="0.35">
      <c r="B14" s="16" t="s">
        <v>534</v>
      </c>
    </row>
    <row r="15" spans="2:25" x14ac:dyDescent="0.35">
      <c r="B15" t="s">
        <v>51</v>
      </c>
    </row>
    <row r="16" spans="2:25" x14ac:dyDescent="0.35">
      <c r="B16" t="s">
        <v>52</v>
      </c>
    </row>
    <row r="18" spans="2:2" x14ac:dyDescent="0.35">
      <c r="B18" s="8" t="str">
        <f>HYPERLINK("#'Contents'!A1", "Return to Contents")</f>
        <v>Return to Contents</v>
      </c>
    </row>
  </sheetData>
  <mergeCells count="5">
    <mergeCell ref="D5:E5"/>
    <mergeCell ref="G5:L5"/>
    <mergeCell ref="N5:V5"/>
    <mergeCell ref="X5:Y5"/>
    <mergeCell ref="D2:W2"/>
  </mergeCells>
  <pageMargins left="0.7" right="0.7" top="0.75" bottom="0.75" header="0.3" footer="0.3"/>
  <pageSetup paperSize="9" orientation="portrait" horizontalDpi="300" verticalDpi="300"/>
  <drawing r:id="rId1"/>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0-000000000000}">
  <dimension ref="B2:Y18"/>
  <sheetViews>
    <sheetView showGridLines="0" topLeftCell="A7" workbookViewId="0">
      <pane xSplit="2" topLeftCell="C1" activePane="topRight" state="frozen"/>
      <selection pane="topRight" activeCell="B14" sqref="B14"/>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s>
  <sheetData>
    <row r="2" spans="2:25" ht="40" customHeight="1" x14ac:dyDescent="0.35">
      <c r="D2" s="30" t="s">
        <v>340</v>
      </c>
      <c r="E2" s="26"/>
      <c r="F2" s="26"/>
      <c r="G2" s="26"/>
      <c r="H2" s="26"/>
      <c r="I2" s="26"/>
      <c r="J2" s="26"/>
      <c r="K2" s="26"/>
      <c r="L2" s="26"/>
      <c r="M2" s="26"/>
      <c r="N2" s="26"/>
      <c r="O2" s="26"/>
      <c r="P2" s="26"/>
      <c r="Q2" s="26"/>
      <c r="R2" s="26"/>
      <c r="S2" s="26"/>
      <c r="T2" s="26"/>
      <c r="U2" s="26"/>
      <c r="V2" s="26"/>
      <c r="W2" s="26"/>
    </row>
    <row r="5" spans="2:25" ht="30" customHeight="1" x14ac:dyDescent="0.35">
      <c r="B5" s="15"/>
      <c r="C5" s="15"/>
      <c r="D5" s="29" t="s">
        <v>38</v>
      </c>
      <c r="E5" s="29"/>
      <c r="F5" s="15"/>
      <c r="G5" s="29" t="s">
        <v>39</v>
      </c>
      <c r="H5" s="29"/>
      <c r="I5" s="29"/>
      <c r="J5" s="29"/>
      <c r="K5" s="29"/>
      <c r="L5" s="29"/>
      <c r="M5" s="15"/>
      <c r="N5" s="29" t="s">
        <v>40</v>
      </c>
      <c r="O5" s="29"/>
      <c r="P5" s="29"/>
      <c r="Q5" s="29"/>
      <c r="R5" s="29"/>
      <c r="S5" s="29"/>
      <c r="T5" s="29"/>
      <c r="U5" s="29"/>
      <c r="V5" s="29"/>
      <c r="W5" s="15"/>
      <c r="X5" s="29" t="s">
        <v>41</v>
      </c>
      <c r="Y5" s="29"/>
    </row>
    <row r="6" spans="2:25" ht="29"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row>
    <row r="7" spans="2:25" ht="30" customHeight="1" x14ac:dyDescent="0.35">
      <c r="B7" s="10" t="s">
        <v>19</v>
      </c>
      <c r="C7" s="10">
        <v>3716</v>
      </c>
      <c r="D7" s="10">
        <v>1971</v>
      </c>
      <c r="E7" s="10">
        <v>1736</v>
      </c>
      <c r="F7" s="10"/>
      <c r="G7" s="10">
        <v>251</v>
      </c>
      <c r="H7" s="10">
        <v>847</v>
      </c>
      <c r="I7" s="10">
        <v>873</v>
      </c>
      <c r="J7" s="10">
        <v>919</v>
      </c>
      <c r="K7" s="10">
        <v>652</v>
      </c>
      <c r="L7" s="10">
        <v>174</v>
      </c>
      <c r="M7" s="10"/>
      <c r="N7" s="10">
        <v>101</v>
      </c>
      <c r="O7" s="10">
        <v>101</v>
      </c>
      <c r="P7" s="10">
        <v>508</v>
      </c>
      <c r="Q7" s="10">
        <v>536</v>
      </c>
      <c r="R7" s="10">
        <v>488</v>
      </c>
      <c r="S7" s="10">
        <v>546</v>
      </c>
      <c r="T7" s="10">
        <v>648</v>
      </c>
      <c r="U7" s="10">
        <v>573</v>
      </c>
      <c r="V7" s="10">
        <v>215</v>
      </c>
      <c r="W7" s="10"/>
      <c r="X7" s="10">
        <v>1783</v>
      </c>
      <c r="Y7" s="10">
        <v>1933</v>
      </c>
    </row>
    <row r="8" spans="2:25" ht="30" customHeight="1" x14ac:dyDescent="0.35">
      <c r="B8" s="11" t="s">
        <v>20</v>
      </c>
      <c r="C8" s="11">
        <v>3642</v>
      </c>
      <c r="D8" s="11">
        <v>1990</v>
      </c>
      <c r="E8" s="11">
        <v>1643</v>
      </c>
      <c r="F8" s="11"/>
      <c r="G8" s="11">
        <v>263</v>
      </c>
      <c r="H8" s="11">
        <v>804</v>
      </c>
      <c r="I8" s="11">
        <v>885</v>
      </c>
      <c r="J8" s="11">
        <v>875</v>
      </c>
      <c r="K8" s="11">
        <v>630</v>
      </c>
      <c r="L8" s="11">
        <v>185</v>
      </c>
      <c r="M8" s="11"/>
      <c r="N8" s="11">
        <v>106</v>
      </c>
      <c r="O8" s="11">
        <v>95</v>
      </c>
      <c r="P8" s="11">
        <v>509</v>
      </c>
      <c r="Q8" s="11">
        <v>549</v>
      </c>
      <c r="R8" s="11">
        <v>458</v>
      </c>
      <c r="S8" s="11">
        <v>556</v>
      </c>
      <c r="T8" s="11">
        <v>615</v>
      </c>
      <c r="U8" s="11">
        <v>531</v>
      </c>
      <c r="V8" s="11">
        <v>224</v>
      </c>
      <c r="W8" s="11"/>
      <c r="X8" s="11">
        <v>1638</v>
      </c>
      <c r="Y8" s="11">
        <v>2004</v>
      </c>
    </row>
    <row r="9" spans="2:25" ht="29" x14ac:dyDescent="0.35">
      <c r="B9" s="18" t="s">
        <v>321</v>
      </c>
      <c r="C9" s="17">
        <v>0.13050886712953</v>
      </c>
      <c r="D9" s="17">
        <v>0.14272752832045599</v>
      </c>
      <c r="E9" s="17">
        <v>0.115272075397807</v>
      </c>
      <c r="F9" s="17"/>
      <c r="G9" s="17">
        <v>0.107472894899211</v>
      </c>
      <c r="H9" s="17">
        <v>0.144997015451999</v>
      </c>
      <c r="I9" s="17">
        <v>0.15201080883843099</v>
      </c>
      <c r="J9" s="17">
        <v>0.117734707722666</v>
      </c>
      <c r="K9" s="17">
        <v>0.12191392604662001</v>
      </c>
      <c r="L9" s="17">
        <v>8.7130446606569406E-2</v>
      </c>
      <c r="M9" s="17"/>
      <c r="N9" s="17">
        <v>0.14743884309815</v>
      </c>
      <c r="O9" s="17">
        <v>8.91370741128059E-2</v>
      </c>
      <c r="P9" s="17">
        <v>0.154367838951565</v>
      </c>
      <c r="Q9" s="17">
        <v>0.14018895419089</v>
      </c>
      <c r="R9" s="17">
        <v>8.2750620711658104E-2</v>
      </c>
      <c r="S9" s="17">
        <v>0.18256625845576299</v>
      </c>
      <c r="T9" s="17">
        <v>7.2339360152139903E-2</v>
      </c>
      <c r="U9" s="17">
        <v>0.144894241806208</v>
      </c>
      <c r="V9" s="17">
        <v>0.15621681176668401</v>
      </c>
      <c r="W9" s="17"/>
      <c r="X9" s="17">
        <v>0.20349920316254699</v>
      </c>
      <c r="Y9" s="17">
        <v>7.0831382845105401E-2</v>
      </c>
    </row>
    <row r="10" spans="2:25" x14ac:dyDescent="0.35">
      <c r="B10" s="18" t="s">
        <v>277</v>
      </c>
      <c r="C10" s="17">
        <v>0.31257087372044601</v>
      </c>
      <c r="D10" s="17">
        <v>0.34345023644005601</v>
      </c>
      <c r="E10" s="17">
        <v>0.27620443813495898</v>
      </c>
      <c r="F10" s="17"/>
      <c r="G10" s="17">
        <v>0.32525269714660199</v>
      </c>
      <c r="H10" s="17">
        <v>0.33773012092625498</v>
      </c>
      <c r="I10" s="17">
        <v>0.330058099484351</v>
      </c>
      <c r="J10" s="17">
        <v>0.27706096140710601</v>
      </c>
      <c r="K10" s="17">
        <v>0.29143665320973799</v>
      </c>
      <c r="L10" s="17">
        <v>0.341621174727467</v>
      </c>
      <c r="M10" s="17"/>
      <c r="N10" s="17">
        <v>0.37411991450756898</v>
      </c>
      <c r="O10" s="17">
        <v>0.33796461580673198</v>
      </c>
      <c r="P10" s="17">
        <v>0.26232440400161999</v>
      </c>
      <c r="Q10" s="17">
        <v>0.29110898873283803</v>
      </c>
      <c r="R10" s="17">
        <v>0.30210189763448198</v>
      </c>
      <c r="S10" s="17">
        <v>0.33182176940783897</v>
      </c>
      <c r="T10" s="17">
        <v>0.33117765872274402</v>
      </c>
      <c r="U10" s="17">
        <v>0.33569610462274202</v>
      </c>
      <c r="V10" s="17">
        <v>0.30726225467434198</v>
      </c>
      <c r="W10" s="17"/>
      <c r="X10" s="17">
        <v>0.39246567529564902</v>
      </c>
      <c r="Y10" s="17">
        <v>0.24724824301965501</v>
      </c>
    </row>
    <row r="11" spans="2:25" x14ac:dyDescent="0.35">
      <c r="B11" s="18" t="s">
        <v>322</v>
      </c>
      <c r="C11" s="17">
        <v>0.28430586129735402</v>
      </c>
      <c r="D11" s="17">
        <v>0.27889862958437101</v>
      </c>
      <c r="E11" s="17">
        <v>0.28989319881256997</v>
      </c>
      <c r="F11" s="17"/>
      <c r="G11" s="17">
        <v>0.30897998942093102</v>
      </c>
      <c r="H11" s="17">
        <v>0.265376033983583</v>
      </c>
      <c r="I11" s="17">
        <v>0.276519621677075</v>
      </c>
      <c r="J11" s="17">
        <v>0.30434097531848098</v>
      </c>
      <c r="K11" s="17">
        <v>0.27778809782727698</v>
      </c>
      <c r="L11" s="17">
        <v>0.29611555088150299</v>
      </c>
      <c r="M11" s="17"/>
      <c r="N11" s="17">
        <v>0.25898166586164001</v>
      </c>
      <c r="O11" s="17">
        <v>0.30944702781469602</v>
      </c>
      <c r="P11" s="17">
        <v>0.27334566973119201</v>
      </c>
      <c r="Q11" s="17">
        <v>0.26846809860948001</v>
      </c>
      <c r="R11" s="17">
        <v>0.353490459045394</v>
      </c>
      <c r="S11" s="17">
        <v>0.27575037920154399</v>
      </c>
      <c r="T11" s="17">
        <v>0.29403789556188797</v>
      </c>
      <c r="U11" s="17">
        <v>0.25441439625537698</v>
      </c>
      <c r="V11" s="17">
        <v>0.27308519463017</v>
      </c>
      <c r="W11" s="17"/>
      <c r="X11" s="17">
        <v>0.25442445516401901</v>
      </c>
      <c r="Y11" s="17">
        <v>0.30873713866689401</v>
      </c>
    </row>
    <row r="12" spans="2:25" x14ac:dyDescent="0.35">
      <c r="B12" s="18" t="s">
        <v>323</v>
      </c>
      <c r="C12" s="17">
        <v>0.26991721480686898</v>
      </c>
      <c r="D12" s="17">
        <v>0.23281996089545401</v>
      </c>
      <c r="E12" s="17">
        <v>0.31519954761591701</v>
      </c>
      <c r="F12" s="17"/>
      <c r="G12" s="17">
        <v>0.24942015463789199</v>
      </c>
      <c r="H12" s="17">
        <v>0.24706556880198899</v>
      </c>
      <c r="I12" s="17">
        <v>0.24024780021682299</v>
      </c>
      <c r="J12" s="17">
        <v>0.29992430541631199</v>
      </c>
      <c r="K12" s="17">
        <v>0.30607969173315402</v>
      </c>
      <c r="L12" s="17">
        <v>0.27513282778446102</v>
      </c>
      <c r="M12" s="17"/>
      <c r="N12" s="17">
        <v>0.219459576532641</v>
      </c>
      <c r="O12" s="17">
        <v>0.26345128226576697</v>
      </c>
      <c r="P12" s="17">
        <v>0.301084557083454</v>
      </c>
      <c r="Q12" s="17">
        <v>0.29173734930231499</v>
      </c>
      <c r="R12" s="17">
        <v>0.26165702260846602</v>
      </c>
      <c r="S12" s="17">
        <v>0.20986159293485401</v>
      </c>
      <c r="T12" s="17">
        <v>0.30244508556322702</v>
      </c>
      <c r="U12" s="17">
        <v>0.26378284322274398</v>
      </c>
      <c r="V12" s="17">
        <v>0.26343573892880501</v>
      </c>
      <c r="W12" s="17"/>
      <c r="X12" s="17">
        <v>0.14921798000636499</v>
      </c>
      <c r="Y12" s="17">
        <v>0.36860187745441397</v>
      </c>
    </row>
    <row r="13" spans="2:25" x14ac:dyDescent="0.35">
      <c r="B13" s="18" t="s">
        <v>324</v>
      </c>
      <c r="C13" s="19">
        <v>2.6971830458012102E-3</v>
      </c>
      <c r="D13" s="19">
        <v>2.10364475966232E-3</v>
      </c>
      <c r="E13" s="19">
        <v>3.4307400387470202E-3</v>
      </c>
      <c r="F13" s="19"/>
      <c r="G13" s="19">
        <v>8.87426389536374E-3</v>
      </c>
      <c r="H13" s="19">
        <v>4.8312608361738996E-3</v>
      </c>
      <c r="I13" s="19">
        <v>1.1636697833198699E-3</v>
      </c>
      <c r="J13" s="19">
        <v>9.3905013543472201E-4</v>
      </c>
      <c r="K13" s="19">
        <v>2.7816311832101902E-3</v>
      </c>
      <c r="L13" s="19">
        <v>0</v>
      </c>
      <c r="M13" s="19"/>
      <c r="N13" s="19">
        <v>0</v>
      </c>
      <c r="O13" s="19">
        <v>0</v>
      </c>
      <c r="P13" s="19">
        <v>8.8775302321695299E-3</v>
      </c>
      <c r="Q13" s="19">
        <v>8.4966091644775206E-3</v>
      </c>
      <c r="R13" s="19">
        <v>0</v>
      </c>
      <c r="S13" s="19">
        <v>0</v>
      </c>
      <c r="T13" s="19">
        <v>0</v>
      </c>
      <c r="U13" s="19">
        <v>1.2124140929295299E-3</v>
      </c>
      <c r="V13" s="19">
        <v>0</v>
      </c>
      <c r="W13" s="19"/>
      <c r="X13" s="19">
        <v>3.9268637142090499E-4</v>
      </c>
      <c r="Y13" s="19">
        <v>4.5813580139316698E-3</v>
      </c>
    </row>
    <row r="14" spans="2:25" x14ac:dyDescent="0.35">
      <c r="B14" s="16" t="s">
        <v>534</v>
      </c>
    </row>
    <row r="15" spans="2:25" x14ac:dyDescent="0.35">
      <c r="B15" t="s">
        <v>51</v>
      </c>
    </row>
    <row r="16" spans="2:25" x14ac:dyDescent="0.35">
      <c r="B16" t="s">
        <v>52</v>
      </c>
    </row>
    <row r="18" spans="2:2" x14ac:dyDescent="0.35">
      <c r="B18" s="8" t="str">
        <f>HYPERLINK("#'Contents'!A1", "Return to Contents")</f>
        <v>Return to Contents</v>
      </c>
    </row>
  </sheetData>
  <mergeCells count="5">
    <mergeCell ref="D5:E5"/>
    <mergeCell ref="G5:L5"/>
    <mergeCell ref="N5:V5"/>
    <mergeCell ref="X5:Y5"/>
    <mergeCell ref="D2:W2"/>
  </mergeCells>
  <pageMargins left="0.7" right="0.7" top="0.75" bottom="0.75" header="0.3" footer="0.3"/>
  <pageSetup paperSize="9" orientation="portrait" horizontalDpi="300" verticalDpi="300"/>
  <drawing r:id="rId1"/>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200-000000000000}">
  <dimension ref="B2:I17"/>
  <sheetViews>
    <sheetView showGridLines="0" workbookViewId="0">
      <pane xSplit="2" topLeftCell="C1" activePane="topRight" state="frozen"/>
      <selection pane="topRight" activeCell="B11" sqref="B11"/>
    </sheetView>
  </sheetViews>
  <sheetFormatPr defaultColWidth="10.90625" defaultRowHeight="14.5" x14ac:dyDescent="0.35"/>
  <cols>
    <col min="2" max="2" width="25.7265625" customWidth="1"/>
    <col min="3" max="9" width="20.7265625" customWidth="1"/>
  </cols>
  <sheetData>
    <row r="2" spans="2:9" ht="40" customHeight="1" x14ac:dyDescent="0.35">
      <c r="D2" s="30" t="s">
        <v>351</v>
      </c>
      <c r="E2" s="26"/>
      <c r="F2" s="26"/>
      <c r="G2" s="26"/>
      <c r="H2" s="26"/>
      <c r="I2" s="26"/>
    </row>
    <row r="6" spans="2:9" ht="50" customHeight="1" x14ac:dyDescent="0.35">
      <c r="B6" s="20" t="s">
        <v>15</v>
      </c>
      <c r="C6" s="20" t="s">
        <v>341</v>
      </c>
      <c r="D6" s="20" t="s">
        <v>342</v>
      </c>
      <c r="E6" s="20" t="s">
        <v>343</v>
      </c>
      <c r="F6" s="20" t="s">
        <v>344</v>
      </c>
      <c r="G6" s="20" t="s">
        <v>345</v>
      </c>
      <c r="H6" s="20" t="s">
        <v>346</v>
      </c>
    </row>
    <row r="7" spans="2:9" ht="29" x14ac:dyDescent="0.35">
      <c r="B7" s="18" t="s">
        <v>347</v>
      </c>
      <c r="C7" s="17">
        <v>8.6645280335848798E-2</v>
      </c>
      <c r="D7" s="17">
        <v>9.2192696153004003E-2</v>
      </c>
      <c r="E7" s="17">
        <v>0.11386261874319301</v>
      </c>
      <c r="F7" s="17">
        <v>6.0066386884477699E-2</v>
      </c>
      <c r="G7" s="17">
        <v>0.103227258033924</v>
      </c>
      <c r="H7" s="17">
        <v>9.4488599381754398E-2</v>
      </c>
    </row>
    <row r="8" spans="2:9" ht="29" x14ac:dyDescent="0.35">
      <c r="B8" s="18" t="s">
        <v>348</v>
      </c>
      <c r="C8" s="17">
        <v>0.23636953071047501</v>
      </c>
      <c r="D8" s="17">
        <v>0.211587310028853</v>
      </c>
      <c r="E8" s="17">
        <v>0.23883405603803101</v>
      </c>
      <c r="F8" s="17">
        <v>0.17793540452880299</v>
      </c>
      <c r="G8" s="17">
        <v>0.183275114103266</v>
      </c>
      <c r="H8" s="17">
        <v>0.23022681469956799</v>
      </c>
    </row>
    <row r="9" spans="2:9" ht="29" x14ac:dyDescent="0.35">
      <c r="B9" s="18" t="s">
        <v>349</v>
      </c>
      <c r="C9" s="17">
        <v>0.38472142536898601</v>
      </c>
      <c r="D9" s="17">
        <v>0.346064729855453</v>
      </c>
      <c r="E9" s="17">
        <v>0.31024663160121002</v>
      </c>
      <c r="F9" s="17">
        <v>0.35314378328187801</v>
      </c>
      <c r="G9" s="17">
        <v>0.28652206455500401</v>
      </c>
      <c r="H9" s="17">
        <v>0.33189290849535702</v>
      </c>
    </row>
    <row r="10" spans="2:9" ht="29" x14ac:dyDescent="0.35">
      <c r="B10" s="18" t="s">
        <v>350</v>
      </c>
      <c r="C10" s="17">
        <v>0.29226376358468997</v>
      </c>
      <c r="D10" s="17">
        <v>0.35015526396268998</v>
      </c>
      <c r="E10" s="17">
        <v>0.33705669361756602</v>
      </c>
      <c r="F10" s="17">
        <v>0.40885442530484101</v>
      </c>
      <c r="G10" s="17">
        <v>0.42697556330780601</v>
      </c>
      <c r="H10" s="17">
        <v>0.343391677423321</v>
      </c>
    </row>
    <row r="11" spans="2:9" x14ac:dyDescent="0.35">
      <c r="B11" s="16" t="s">
        <v>534</v>
      </c>
      <c r="C11" s="16"/>
      <c r="D11" s="16"/>
      <c r="E11" s="16"/>
      <c r="F11" s="16"/>
      <c r="G11" s="16"/>
      <c r="H11" s="16"/>
    </row>
    <row r="12" spans="2:9" x14ac:dyDescent="0.35">
      <c r="B12" t="s">
        <v>51</v>
      </c>
    </row>
    <row r="13" spans="2:9" x14ac:dyDescent="0.35">
      <c r="B13" t="s">
        <v>52</v>
      </c>
    </row>
    <row r="17" spans="2:2" x14ac:dyDescent="0.35">
      <c r="B17" s="8" t="str">
        <f>HYPERLINK("#'Contents'!A1", "Return to Contents")</f>
        <v>Return to Contents</v>
      </c>
    </row>
  </sheetData>
  <mergeCells count="1">
    <mergeCell ref="D2:I2"/>
  </mergeCells>
  <pageMargins left="0.7" right="0.7" top="0.75" bottom="0.75" header="0.3" footer="0.3"/>
  <pageSetup paperSize="9" orientation="portrait" horizontalDpi="300" verticalDpi="300"/>
  <drawing r:id="rId1"/>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300-000000000000}">
  <dimension ref="B2:Y17"/>
  <sheetViews>
    <sheetView showGridLines="0" topLeftCell="A7" workbookViewId="0">
      <pane xSplit="2" topLeftCell="C1" activePane="topRight" state="frozen"/>
      <selection pane="topRight" activeCell="B13" sqref="B13"/>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s>
  <sheetData>
    <row r="2" spans="2:25" ht="40" customHeight="1" x14ac:dyDescent="0.35">
      <c r="D2" s="30" t="s">
        <v>352</v>
      </c>
      <c r="E2" s="26"/>
      <c r="F2" s="26"/>
      <c r="G2" s="26"/>
      <c r="H2" s="26"/>
      <c r="I2" s="26"/>
      <c r="J2" s="26"/>
      <c r="K2" s="26"/>
      <c r="L2" s="26"/>
      <c r="M2" s="26"/>
      <c r="N2" s="26"/>
      <c r="O2" s="26"/>
      <c r="P2" s="26"/>
      <c r="Q2" s="26"/>
      <c r="R2" s="26"/>
      <c r="S2" s="26"/>
      <c r="T2" s="26"/>
      <c r="U2" s="26"/>
      <c r="V2" s="26"/>
      <c r="W2" s="26"/>
    </row>
    <row r="5" spans="2:25" ht="30" customHeight="1" x14ac:dyDescent="0.35">
      <c r="B5" s="15"/>
      <c r="C5" s="15"/>
      <c r="D5" s="29" t="s">
        <v>38</v>
      </c>
      <c r="E5" s="29"/>
      <c r="F5" s="15"/>
      <c r="G5" s="29" t="s">
        <v>39</v>
      </c>
      <c r="H5" s="29"/>
      <c r="I5" s="29"/>
      <c r="J5" s="29"/>
      <c r="K5" s="29"/>
      <c r="L5" s="29"/>
      <c r="M5" s="15"/>
      <c r="N5" s="29" t="s">
        <v>40</v>
      </c>
      <c r="O5" s="29"/>
      <c r="P5" s="29"/>
      <c r="Q5" s="29"/>
      <c r="R5" s="29"/>
      <c r="S5" s="29"/>
      <c r="T5" s="29"/>
      <c r="U5" s="29"/>
      <c r="V5" s="29"/>
      <c r="W5" s="15"/>
      <c r="X5" s="29" t="s">
        <v>41</v>
      </c>
      <c r="Y5" s="29"/>
    </row>
    <row r="6" spans="2:25" ht="29"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row>
    <row r="7" spans="2:25" ht="30" customHeight="1" x14ac:dyDescent="0.35">
      <c r="B7" s="10" t="s">
        <v>19</v>
      </c>
      <c r="C7" s="10">
        <v>3716</v>
      </c>
      <c r="D7" s="10">
        <v>1971</v>
      </c>
      <c r="E7" s="10">
        <v>1736</v>
      </c>
      <c r="F7" s="10"/>
      <c r="G7" s="10">
        <v>251</v>
      </c>
      <c r="H7" s="10">
        <v>847</v>
      </c>
      <c r="I7" s="10">
        <v>873</v>
      </c>
      <c r="J7" s="10">
        <v>919</v>
      </c>
      <c r="K7" s="10">
        <v>652</v>
      </c>
      <c r="L7" s="10">
        <v>174</v>
      </c>
      <c r="M7" s="10"/>
      <c r="N7" s="10">
        <v>101</v>
      </c>
      <c r="O7" s="10">
        <v>101</v>
      </c>
      <c r="P7" s="10">
        <v>508</v>
      </c>
      <c r="Q7" s="10">
        <v>536</v>
      </c>
      <c r="R7" s="10">
        <v>488</v>
      </c>
      <c r="S7" s="10">
        <v>546</v>
      </c>
      <c r="T7" s="10">
        <v>648</v>
      </c>
      <c r="U7" s="10">
        <v>573</v>
      </c>
      <c r="V7" s="10">
        <v>215</v>
      </c>
      <c r="W7" s="10"/>
      <c r="X7" s="10">
        <v>1783</v>
      </c>
      <c r="Y7" s="10">
        <v>1933</v>
      </c>
    </row>
    <row r="8" spans="2:25" ht="30" customHeight="1" x14ac:dyDescent="0.35">
      <c r="B8" s="11" t="s">
        <v>20</v>
      </c>
      <c r="C8" s="11">
        <v>3642</v>
      </c>
      <c r="D8" s="11">
        <v>1990</v>
      </c>
      <c r="E8" s="11">
        <v>1643</v>
      </c>
      <c r="F8" s="11"/>
      <c r="G8" s="11">
        <v>263</v>
      </c>
      <c r="H8" s="11">
        <v>804</v>
      </c>
      <c r="I8" s="11">
        <v>885</v>
      </c>
      <c r="J8" s="11">
        <v>875</v>
      </c>
      <c r="K8" s="11">
        <v>630</v>
      </c>
      <c r="L8" s="11">
        <v>185</v>
      </c>
      <c r="M8" s="11"/>
      <c r="N8" s="11">
        <v>106</v>
      </c>
      <c r="O8" s="11">
        <v>95</v>
      </c>
      <c r="P8" s="11">
        <v>509</v>
      </c>
      <c r="Q8" s="11">
        <v>549</v>
      </c>
      <c r="R8" s="11">
        <v>458</v>
      </c>
      <c r="S8" s="11">
        <v>556</v>
      </c>
      <c r="T8" s="11">
        <v>615</v>
      </c>
      <c r="U8" s="11">
        <v>531</v>
      </c>
      <c r="V8" s="11">
        <v>224</v>
      </c>
      <c r="W8" s="11"/>
      <c r="X8" s="11">
        <v>1638</v>
      </c>
      <c r="Y8" s="11">
        <v>2004</v>
      </c>
    </row>
    <row r="9" spans="2:25" ht="29" x14ac:dyDescent="0.35">
      <c r="B9" s="18" t="s">
        <v>347</v>
      </c>
      <c r="C9" s="17">
        <v>8.6645280335848798E-2</v>
      </c>
      <c r="D9" s="17">
        <v>8.4775495128881204E-2</v>
      </c>
      <c r="E9" s="17">
        <v>8.8783868640181104E-2</v>
      </c>
      <c r="F9" s="17"/>
      <c r="G9" s="17">
        <v>7.3686042159816195E-2</v>
      </c>
      <c r="H9" s="17">
        <v>9.9741939583233005E-2</v>
      </c>
      <c r="I9" s="17">
        <v>9.7902842749684998E-2</v>
      </c>
      <c r="J9" s="17">
        <v>8.7515470297087603E-2</v>
      </c>
      <c r="K9" s="17">
        <v>5.7097635230284001E-2</v>
      </c>
      <c r="L9" s="17">
        <v>9.0858553182534205E-2</v>
      </c>
      <c r="M9" s="17"/>
      <c r="N9" s="17">
        <v>6.5720684494504397E-2</v>
      </c>
      <c r="O9" s="17">
        <v>2.5192513695344799E-2</v>
      </c>
      <c r="P9" s="17">
        <v>7.5953103698440799E-2</v>
      </c>
      <c r="Q9" s="17">
        <v>5.5884031956232802E-2</v>
      </c>
      <c r="R9" s="17">
        <v>8.1490316422072898E-2</v>
      </c>
      <c r="S9" s="17">
        <v>6.9525269724448002E-2</v>
      </c>
      <c r="T9" s="17">
        <v>0.10692874859632399</v>
      </c>
      <c r="U9" s="17">
        <v>0.14563356592020801</v>
      </c>
      <c r="V9" s="17">
        <v>7.9782141186407696E-2</v>
      </c>
      <c r="W9" s="17"/>
      <c r="X9" s="17">
        <v>9.5608738392259196E-2</v>
      </c>
      <c r="Y9" s="17">
        <v>7.9316685122181499E-2</v>
      </c>
    </row>
    <row r="10" spans="2:25" ht="29" x14ac:dyDescent="0.35">
      <c r="B10" s="18" t="s">
        <v>348</v>
      </c>
      <c r="C10" s="17">
        <v>0.23636953071047501</v>
      </c>
      <c r="D10" s="17">
        <v>0.23218738552311599</v>
      </c>
      <c r="E10" s="17">
        <v>0.24270115603529899</v>
      </c>
      <c r="F10" s="17"/>
      <c r="G10" s="17">
        <v>0.24523960674218601</v>
      </c>
      <c r="H10" s="17">
        <v>0.23752011484851199</v>
      </c>
      <c r="I10" s="17">
        <v>0.23711589878861999</v>
      </c>
      <c r="J10" s="17">
        <v>0.243759290599325</v>
      </c>
      <c r="K10" s="17">
        <v>0.23003327126258499</v>
      </c>
      <c r="L10" s="17">
        <v>0.20174399654501801</v>
      </c>
      <c r="M10" s="17"/>
      <c r="N10" s="17">
        <v>0.22054966415093999</v>
      </c>
      <c r="O10" s="17">
        <v>0.144743907834323</v>
      </c>
      <c r="P10" s="17">
        <v>0.25762921513166498</v>
      </c>
      <c r="Q10" s="17">
        <v>0.20723763935424799</v>
      </c>
      <c r="R10" s="17">
        <v>0.24248037606078901</v>
      </c>
      <c r="S10" s="17">
        <v>0.17500830736103501</v>
      </c>
      <c r="T10" s="17">
        <v>0.23779033431017699</v>
      </c>
      <c r="U10" s="17">
        <v>0.32396740939832702</v>
      </c>
      <c r="V10" s="17">
        <v>0.23403206782227101</v>
      </c>
      <c r="W10" s="17"/>
      <c r="X10" s="17">
        <v>0.222825972600941</v>
      </c>
      <c r="Y10" s="17">
        <v>0.247442852470103</v>
      </c>
    </row>
    <row r="11" spans="2:25" ht="29" x14ac:dyDescent="0.35">
      <c r="B11" s="18" t="s">
        <v>349</v>
      </c>
      <c r="C11" s="17">
        <v>0.38472142536898601</v>
      </c>
      <c r="D11" s="17">
        <v>0.385865879070105</v>
      </c>
      <c r="E11" s="17">
        <v>0.38176443855051301</v>
      </c>
      <c r="F11" s="17"/>
      <c r="G11" s="17">
        <v>0.40640535875324102</v>
      </c>
      <c r="H11" s="17">
        <v>0.38292616618709702</v>
      </c>
      <c r="I11" s="17">
        <v>0.39046661656924903</v>
      </c>
      <c r="J11" s="17">
        <v>0.37727117136786498</v>
      </c>
      <c r="K11" s="17">
        <v>0.39881797813505299</v>
      </c>
      <c r="L11" s="17">
        <v>0.32133488276849798</v>
      </c>
      <c r="M11" s="17"/>
      <c r="N11" s="17">
        <v>0.443657984978088</v>
      </c>
      <c r="O11" s="17">
        <v>0.524818866686797</v>
      </c>
      <c r="P11" s="17">
        <v>0.38185415889142799</v>
      </c>
      <c r="Q11" s="17">
        <v>0.419880893565099</v>
      </c>
      <c r="R11" s="17">
        <v>0.34847412055724902</v>
      </c>
      <c r="S11" s="17">
        <v>0.39527317009732299</v>
      </c>
      <c r="T11" s="17">
        <v>0.38820398365409098</v>
      </c>
      <c r="U11" s="17">
        <v>0.30673309928320303</v>
      </c>
      <c r="V11" s="17">
        <v>0.44120978308396103</v>
      </c>
      <c r="W11" s="17"/>
      <c r="X11" s="17">
        <v>0.36948577180180397</v>
      </c>
      <c r="Y11" s="17">
        <v>0.397178217949131</v>
      </c>
    </row>
    <row r="12" spans="2:25" ht="29" x14ac:dyDescent="0.35">
      <c r="B12" s="18" t="s">
        <v>350</v>
      </c>
      <c r="C12" s="19">
        <v>0.29226376358468997</v>
      </c>
      <c r="D12" s="19">
        <v>0.29717124027789699</v>
      </c>
      <c r="E12" s="19">
        <v>0.28675053677400703</v>
      </c>
      <c r="F12" s="19"/>
      <c r="G12" s="19">
        <v>0.274668992344757</v>
      </c>
      <c r="H12" s="19">
        <v>0.27981177938115898</v>
      </c>
      <c r="I12" s="19">
        <v>0.27451464189244601</v>
      </c>
      <c r="J12" s="19">
        <v>0.29145406773572202</v>
      </c>
      <c r="K12" s="19">
        <v>0.31405111537207803</v>
      </c>
      <c r="L12" s="19">
        <v>0.38606256750395002</v>
      </c>
      <c r="M12" s="19"/>
      <c r="N12" s="19">
        <v>0.27007166637646701</v>
      </c>
      <c r="O12" s="19">
        <v>0.30524471178353502</v>
      </c>
      <c r="P12" s="19">
        <v>0.28456352227846698</v>
      </c>
      <c r="Q12" s="19">
        <v>0.31699743512442102</v>
      </c>
      <c r="R12" s="19">
        <v>0.327555186959889</v>
      </c>
      <c r="S12" s="19">
        <v>0.360193252817194</v>
      </c>
      <c r="T12" s="19">
        <v>0.26707693343940703</v>
      </c>
      <c r="U12" s="19">
        <v>0.22366592539826199</v>
      </c>
      <c r="V12" s="19">
        <v>0.24497600790735999</v>
      </c>
      <c r="W12" s="19"/>
      <c r="X12" s="19">
        <v>0.31207951720499599</v>
      </c>
      <c r="Y12" s="19">
        <v>0.27606224445858402</v>
      </c>
    </row>
    <row r="13" spans="2:25" x14ac:dyDescent="0.35">
      <c r="B13" s="16" t="s">
        <v>534</v>
      </c>
    </row>
    <row r="14" spans="2:25" x14ac:dyDescent="0.35">
      <c r="B14" t="s">
        <v>51</v>
      </c>
    </row>
    <row r="15" spans="2:25" x14ac:dyDescent="0.35">
      <c r="B15" t="s">
        <v>52</v>
      </c>
    </row>
    <row r="17" spans="2:2" x14ac:dyDescent="0.35">
      <c r="B17" s="8" t="str">
        <f>HYPERLINK("#'Contents'!A1", "Return to Contents")</f>
        <v>Return to Contents</v>
      </c>
    </row>
  </sheetData>
  <mergeCells count="5">
    <mergeCell ref="D5:E5"/>
    <mergeCell ref="G5:L5"/>
    <mergeCell ref="N5:V5"/>
    <mergeCell ref="X5:Y5"/>
    <mergeCell ref="D2:W2"/>
  </mergeCells>
  <pageMargins left="0.7" right="0.7" top="0.75" bottom="0.75" header="0.3" footer="0.3"/>
  <pageSetup paperSize="9" orientation="portrait" horizontalDpi="300" verticalDpi="300"/>
  <drawing r:id="rId1"/>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400-000000000000}">
  <dimension ref="B2:Y17"/>
  <sheetViews>
    <sheetView showGridLines="0" topLeftCell="A7" workbookViewId="0">
      <pane xSplit="2" topLeftCell="C1" activePane="topRight" state="frozen"/>
      <selection pane="topRight" activeCell="B13" sqref="B13"/>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s>
  <sheetData>
    <row r="2" spans="2:25" ht="40" customHeight="1" x14ac:dyDescent="0.35">
      <c r="D2" s="30" t="s">
        <v>353</v>
      </c>
      <c r="E2" s="26"/>
      <c r="F2" s="26"/>
      <c r="G2" s="26"/>
      <c r="H2" s="26"/>
      <c r="I2" s="26"/>
      <c r="J2" s="26"/>
      <c r="K2" s="26"/>
      <c r="L2" s="26"/>
      <c r="M2" s="26"/>
      <c r="N2" s="26"/>
      <c r="O2" s="26"/>
      <c r="P2" s="26"/>
      <c r="Q2" s="26"/>
      <c r="R2" s="26"/>
      <c r="S2" s="26"/>
      <c r="T2" s="26"/>
      <c r="U2" s="26"/>
      <c r="V2" s="26"/>
      <c r="W2" s="26"/>
    </row>
    <row r="5" spans="2:25" ht="30" customHeight="1" x14ac:dyDescent="0.35">
      <c r="B5" s="15"/>
      <c r="C5" s="15"/>
      <c r="D5" s="29" t="s">
        <v>38</v>
      </c>
      <c r="E5" s="29"/>
      <c r="F5" s="15"/>
      <c r="G5" s="29" t="s">
        <v>39</v>
      </c>
      <c r="H5" s="29"/>
      <c r="I5" s="29"/>
      <c r="J5" s="29"/>
      <c r="K5" s="29"/>
      <c r="L5" s="29"/>
      <c r="M5" s="15"/>
      <c r="N5" s="29" t="s">
        <v>40</v>
      </c>
      <c r="O5" s="29"/>
      <c r="P5" s="29"/>
      <c r="Q5" s="29"/>
      <c r="R5" s="29"/>
      <c r="S5" s="29"/>
      <c r="T5" s="29"/>
      <c r="U5" s="29"/>
      <c r="V5" s="29"/>
      <c r="W5" s="15"/>
      <c r="X5" s="29" t="s">
        <v>41</v>
      </c>
      <c r="Y5" s="29"/>
    </row>
    <row r="6" spans="2:25" ht="29"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row>
    <row r="7" spans="2:25" ht="30" customHeight="1" x14ac:dyDescent="0.35">
      <c r="B7" s="10" t="s">
        <v>19</v>
      </c>
      <c r="C7" s="10">
        <v>3716</v>
      </c>
      <c r="D7" s="10">
        <v>1971</v>
      </c>
      <c r="E7" s="10">
        <v>1736</v>
      </c>
      <c r="F7" s="10"/>
      <c r="G7" s="10">
        <v>251</v>
      </c>
      <c r="H7" s="10">
        <v>847</v>
      </c>
      <c r="I7" s="10">
        <v>873</v>
      </c>
      <c r="J7" s="10">
        <v>919</v>
      </c>
      <c r="K7" s="10">
        <v>652</v>
      </c>
      <c r="L7" s="10">
        <v>174</v>
      </c>
      <c r="M7" s="10"/>
      <c r="N7" s="10">
        <v>101</v>
      </c>
      <c r="O7" s="10">
        <v>101</v>
      </c>
      <c r="P7" s="10">
        <v>508</v>
      </c>
      <c r="Q7" s="10">
        <v>536</v>
      </c>
      <c r="R7" s="10">
        <v>488</v>
      </c>
      <c r="S7" s="10">
        <v>546</v>
      </c>
      <c r="T7" s="10">
        <v>648</v>
      </c>
      <c r="U7" s="10">
        <v>573</v>
      </c>
      <c r="V7" s="10">
        <v>215</v>
      </c>
      <c r="W7" s="10"/>
      <c r="X7" s="10">
        <v>1783</v>
      </c>
      <c r="Y7" s="10">
        <v>1933</v>
      </c>
    </row>
    <row r="8" spans="2:25" ht="30" customHeight="1" x14ac:dyDescent="0.35">
      <c r="B8" s="11" t="s">
        <v>20</v>
      </c>
      <c r="C8" s="11">
        <v>3642</v>
      </c>
      <c r="D8" s="11">
        <v>1990</v>
      </c>
      <c r="E8" s="11">
        <v>1643</v>
      </c>
      <c r="F8" s="11"/>
      <c r="G8" s="11">
        <v>263</v>
      </c>
      <c r="H8" s="11">
        <v>804</v>
      </c>
      <c r="I8" s="11">
        <v>885</v>
      </c>
      <c r="J8" s="11">
        <v>875</v>
      </c>
      <c r="K8" s="11">
        <v>630</v>
      </c>
      <c r="L8" s="11">
        <v>185</v>
      </c>
      <c r="M8" s="11"/>
      <c r="N8" s="11">
        <v>106</v>
      </c>
      <c r="O8" s="11">
        <v>95</v>
      </c>
      <c r="P8" s="11">
        <v>509</v>
      </c>
      <c r="Q8" s="11">
        <v>549</v>
      </c>
      <c r="R8" s="11">
        <v>458</v>
      </c>
      <c r="S8" s="11">
        <v>556</v>
      </c>
      <c r="T8" s="11">
        <v>615</v>
      </c>
      <c r="U8" s="11">
        <v>531</v>
      </c>
      <c r="V8" s="11">
        <v>224</v>
      </c>
      <c r="W8" s="11"/>
      <c r="X8" s="11">
        <v>1638</v>
      </c>
      <c r="Y8" s="11">
        <v>2004</v>
      </c>
    </row>
    <row r="9" spans="2:25" ht="29" x14ac:dyDescent="0.35">
      <c r="B9" s="18" t="s">
        <v>347</v>
      </c>
      <c r="C9" s="17">
        <v>9.2192696153004003E-2</v>
      </c>
      <c r="D9" s="17">
        <v>9.3505250902940401E-2</v>
      </c>
      <c r="E9" s="17">
        <v>8.9364765763320697E-2</v>
      </c>
      <c r="F9" s="17"/>
      <c r="G9" s="17">
        <v>0.15218603547847001</v>
      </c>
      <c r="H9" s="17">
        <v>0.11908065867895599</v>
      </c>
      <c r="I9" s="17">
        <v>9.5002952659895404E-2</v>
      </c>
      <c r="J9" s="17">
        <v>7.5279561925133298E-2</v>
      </c>
      <c r="K9" s="17">
        <v>5.8755093112302502E-2</v>
      </c>
      <c r="L9" s="17">
        <v>7.0465884847263197E-2</v>
      </c>
      <c r="M9" s="17"/>
      <c r="N9" s="17">
        <v>6.9289119841372801E-2</v>
      </c>
      <c r="O9" s="17">
        <v>2.3388924933591199E-2</v>
      </c>
      <c r="P9" s="17">
        <v>0.10614015814872101</v>
      </c>
      <c r="Q9" s="17">
        <v>5.5622050555362297E-2</v>
      </c>
      <c r="R9" s="17">
        <v>0.100981070786671</v>
      </c>
      <c r="S9" s="17">
        <v>6.9866249656060406E-2</v>
      </c>
      <c r="T9" s="17">
        <v>9.5716683467226393E-2</v>
      </c>
      <c r="U9" s="17">
        <v>0.154562911341901</v>
      </c>
      <c r="V9" s="17">
        <v>7.0032791107018003E-2</v>
      </c>
      <c r="W9" s="17"/>
      <c r="X9" s="17">
        <v>9.3042663918913804E-2</v>
      </c>
      <c r="Y9" s="17">
        <v>9.1497755688976001E-2</v>
      </c>
    </row>
    <row r="10" spans="2:25" ht="29" x14ac:dyDescent="0.35">
      <c r="B10" s="18" t="s">
        <v>348</v>
      </c>
      <c r="C10" s="17">
        <v>0.211587310028853</v>
      </c>
      <c r="D10" s="17">
        <v>0.21449624703562301</v>
      </c>
      <c r="E10" s="17">
        <v>0.20811705812589201</v>
      </c>
      <c r="F10" s="17"/>
      <c r="G10" s="17">
        <v>0.25141558669823399</v>
      </c>
      <c r="H10" s="17">
        <v>0.231934104227871</v>
      </c>
      <c r="I10" s="17">
        <v>0.22528644689169799</v>
      </c>
      <c r="J10" s="17">
        <v>0.22401489365352301</v>
      </c>
      <c r="K10" s="17">
        <v>0.165145427841665</v>
      </c>
      <c r="L10" s="17">
        <v>0.100205294145288</v>
      </c>
      <c r="M10" s="17"/>
      <c r="N10" s="17">
        <v>0.14402008786224499</v>
      </c>
      <c r="O10" s="17">
        <v>0.18897857547737201</v>
      </c>
      <c r="P10" s="17">
        <v>0.19011591935644001</v>
      </c>
      <c r="Q10" s="17">
        <v>0.153795772680721</v>
      </c>
      <c r="R10" s="17">
        <v>0.27802488438956402</v>
      </c>
      <c r="S10" s="17">
        <v>0.15394594514596299</v>
      </c>
      <c r="T10" s="17">
        <v>0.247996782329621</v>
      </c>
      <c r="U10" s="17">
        <v>0.26844085211412899</v>
      </c>
      <c r="V10" s="17">
        <v>0.21589806134765699</v>
      </c>
      <c r="W10" s="17"/>
      <c r="X10" s="17">
        <v>0.20597391244020499</v>
      </c>
      <c r="Y10" s="17">
        <v>0.216176868929188</v>
      </c>
    </row>
    <row r="11" spans="2:25" ht="29" x14ac:dyDescent="0.35">
      <c r="B11" s="18" t="s">
        <v>349</v>
      </c>
      <c r="C11" s="17">
        <v>0.346064729855453</v>
      </c>
      <c r="D11" s="17">
        <v>0.35697316499993098</v>
      </c>
      <c r="E11" s="17">
        <v>0.33275992181498198</v>
      </c>
      <c r="F11" s="17"/>
      <c r="G11" s="17">
        <v>0.318380793924043</v>
      </c>
      <c r="H11" s="17">
        <v>0.33522231512832001</v>
      </c>
      <c r="I11" s="17">
        <v>0.35779682815452202</v>
      </c>
      <c r="J11" s="17">
        <v>0.34525273912337001</v>
      </c>
      <c r="K11" s="17">
        <v>0.35944034124653501</v>
      </c>
      <c r="L11" s="17">
        <v>0.33470423914025799</v>
      </c>
      <c r="M11" s="17"/>
      <c r="N11" s="17">
        <v>0.50109459350008101</v>
      </c>
      <c r="O11" s="17">
        <v>0.40344924446342401</v>
      </c>
      <c r="P11" s="17">
        <v>0.32271443911389902</v>
      </c>
      <c r="Q11" s="17">
        <v>0.320031805439287</v>
      </c>
      <c r="R11" s="17">
        <v>0.380681626620481</v>
      </c>
      <c r="S11" s="17">
        <v>0.36125206585015401</v>
      </c>
      <c r="T11" s="17">
        <v>0.347833343104546</v>
      </c>
      <c r="U11" s="17">
        <v>0.29826862613295702</v>
      </c>
      <c r="V11" s="17">
        <v>0.36522023948117099</v>
      </c>
      <c r="W11" s="17"/>
      <c r="X11" s="17">
        <v>0.31711505917377197</v>
      </c>
      <c r="Y11" s="17">
        <v>0.36973421284514402</v>
      </c>
    </row>
    <row r="12" spans="2:25" ht="29" x14ac:dyDescent="0.35">
      <c r="B12" s="18" t="s">
        <v>350</v>
      </c>
      <c r="C12" s="19">
        <v>0.35015526396268998</v>
      </c>
      <c r="D12" s="19">
        <v>0.335025337061506</v>
      </c>
      <c r="E12" s="19">
        <v>0.369758254295805</v>
      </c>
      <c r="F12" s="19"/>
      <c r="G12" s="19">
        <v>0.27801758389925402</v>
      </c>
      <c r="H12" s="19">
        <v>0.313762921964853</v>
      </c>
      <c r="I12" s="19">
        <v>0.32191377229388501</v>
      </c>
      <c r="J12" s="19">
        <v>0.35545280529797402</v>
      </c>
      <c r="K12" s="19">
        <v>0.41665913779949698</v>
      </c>
      <c r="L12" s="19">
        <v>0.49462458186719099</v>
      </c>
      <c r="M12" s="19"/>
      <c r="N12" s="19">
        <v>0.28559619879630099</v>
      </c>
      <c r="O12" s="19">
        <v>0.38418325512561302</v>
      </c>
      <c r="P12" s="19">
        <v>0.38102948338094</v>
      </c>
      <c r="Q12" s="19">
        <v>0.47055037132463001</v>
      </c>
      <c r="R12" s="19">
        <v>0.240312418203284</v>
      </c>
      <c r="S12" s="19">
        <v>0.41493573934782302</v>
      </c>
      <c r="T12" s="19">
        <v>0.30845319109860703</v>
      </c>
      <c r="U12" s="19">
        <v>0.27872761041101302</v>
      </c>
      <c r="V12" s="19">
        <v>0.34884890806415397</v>
      </c>
      <c r="W12" s="19"/>
      <c r="X12" s="19">
        <v>0.38386836446710898</v>
      </c>
      <c r="Y12" s="19">
        <v>0.32259116253669201</v>
      </c>
    </row>
    <row r="13" spans="2:25" x14ac:dyDescent="0.35">
      <c r="B13" s="16" t="s">
        <v>534</v>
      </c>
    </row>
    <row r="14" spans="2:25" x14ac:dyDescent="0.35">
      <c r="B14" t="s">
        <v>51</v>
      </c>
    </row>
    <row r="15" spans="2:25" x14ac:dyDescent="0.35">
      <c r="B15" t="s">
        <v>52</v>
      </c>
    </row>
    <row r="17" spans="2:2" x14ac:dyDescent="0.35">
      <c r="B17" s="8" t="str">
        <f>HYPERLINK("#'Contents'!A1", "Return to Contents")</f>
        <v>Return to Contents</v>
      </c>
    </row>
  </sheetData>
  <mergeCells count="5">
    <mergeCell ref="D5:E5"/>
    <mergeCell ref="G5:L5"/>
    <mergeCell ref="N5:V5"/>
    <mergeCell ref="X5:Y5"/>
    <mergeCell ref="D2:W2"/>
  </mergeCells>
  <pageMargins left="0.7" right="0.7" top="0.75" bottom="0.75" header="0.3" footer="0.3"/>
  <pageSetup paperSize="9" orientation="portrait" horizontalDpi="300" verticalDpi="300"/>
  <drawing r:id="rId1"/>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500-000000000000}">
  <dimension ref="B2:Y17"/>
  <sheetViews>
    <sheetView showGridLines="0" topLeftCell="A7" workbookViewId="0">
      <pane xSplit="2" topLeftCell="C1" activePane="topRight" state="frozen"/>
      <selection pane="topRight" activeCell="B13" sqref="B13"/>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s>
  <sheetData>
    <row r="2" spans="2:25" ht="40" customHeight="1" x14ac:dyDescent="0.35">
      <c r="D2" s="30" t="s">
        <v>354</v>
      </c>
      <c r="E2" s="26"/>
      <c r="F2" s="26"/>
      <c r="G2" s="26"/>
      <c r="H2" s="26"/>
      <c r="I2" s="26"/>
      <c r="J2" s="26"/>
      <c r="K2" s="26"/>
      <c r="L2" s="26"/>
      <c r="M2" s="26"/>
      <c r="N2" s="26"/>
      <c r="O2" s="26"/>
      <c r="P2" s="26"/>
      <c r="Q2" s="26"/>
      <c r="R2" s="26"/>
      <c r="S2" s="26"/>
      <c r="T2" s="26"/>
      <c r="U2" s="26"/>
      <c r="V2" s="26"/>
      <c r="W2" s="26"/>
    </row>
    <row r="5" spans="2:25" ht="30" customHeight="1" x14ac:dyDescent="0.35">
      <c r="B5" s="15"/>
      <c r="C5" s="15"/>
      <c r="D5" s="29" t="s">
        <v>38</v>
      </c>
      <c r="E5" s="29"/>
      <c r="F5" s="15"/>
      <c r="G5" s="29" t="s">
        <v>39</v>
      </c>
      <c r="H5" s="29"/>
      <c r="I5" s="29"/>
      <c r="J5" s="29"/>
      <c r="K5" s="29"/>
      <c r="L5" s="29"/>
      <c r="M5" s="15"/>
      <c r="N5" s="29" t="s">
        <v>40</v>
      </c>
      <c r="O5" s="29"/>
      <c r="P5" s="29"/>
      <c r="Q5" s="29"/>
      <c r="R5" s="29"/>
      <c r="S5" s="29"/>
      <c r="T5" s="29"/>
      <c r="U5" s="29"/>
      <c r="V5" s="29"/>
      <c r="W5" s="15"/>
      <c r="X5" s="29" t="s">
        <v>41</v>
      </c>
      <c r="Y5" s="29"/>
    </row>
    <row r="6" spans="2:25" ht="29"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row>
    <row r="7" spans="2:25" ht="30" customHeight="1" x14ac:dyDescent="0.35">
      <c r="B7" s="10" t="s">
        <v>19</v>
      </c>
      <c r="C7" s="10">
        <v>3716</v>
      </c>
      <c r="D7" s="10">
        <v>1971</v>
      </c>
      <c r="E7" s="10">
        <v>1736</v>
      </c>
      <c r="F7" s="10"/>
      <c r="G7" s="10">
        <v>251</v>
      </c>
      <c r="H7" s="10">
        <v>847</v>
      </c>
      <c r="I7" s="10">
        <v>873</v>
      </c>
      <c r="J7" s="10">
        <v>919</v>
      </c>
      <c r="K7" s="10">
        <v>652</v>
      </c>
      <c r="L7" s="10">
        <v>174</v>
      </c>
      <c r="M7" s="10"/>
      <c r="N7" s="10">
        <v>101</v>
      </c>
      <c r="O7" s="10">
        <v>101</v>
      </c>
      <c r="P7" s="10">
        <v>508</v>
      </c>
      <c r="Q7" s="10">
        <v>536</v>
      </c>
      <c r="R7" s="10">
        <v>488</v>
      </c>
      <c r="S7" s="10">
        <v>546</v>
      </c>
      <c r="T7" s="10">
        <v>648</v>
      </c>
      <c r="U7" s="10">
        <v>573</v>
      </c>
      <c r="V7" s="10">
        <v>215</v>
      </c>
      <c r="W7" s="10"/>
      <c r="X7" s="10">
        <v>1783</v>
      </c>
      <c r="Y7" s="10">
        <v>1933</v>
      </c>
    </row>
    <row r="8" spans="2:25" ht="30" customHeight="1" x14ac:dyDescent="0.35">
      <c r="B8" s="11" t="s">
        <v>20</v>
      </c>
      <c r="C8" s="11">
        <v>3642</v>
      </c>
      <c r="D8" s="11">
        <v>1990</v>
      </c>
      <c r="E8" s="11">
        <v>1643</v>
      </c>
      <c r="F8" s="11"/>
      <c r="G8" s="11">
        <v>263</v>
      </c>
      <c r="H8" s="11">
        <v>804</v>
      </c>
      <c r="I8" s="11">
        <v>885</v>
      </c>
      <c r="J8" s="11">
        <v>875</v>
      </c>
      <c r="K8" s="11">
        <v>630</v>
      </c>
      <c r="L8" s="11">
        <v>185</v>
      </c>
      <c r="M8" s="11"/>
      <c r="N8" s="11">
        <v>106</v>
      </c>
      <c r="O8" s="11">
        <v>95</v>
      </c>
      <c r="P8" s="11">
        <v>509</v>
      </c>
      <c r="Q8" s="11">
        <v>549</v>
      </c>
      <c r="R8" s="11">
        <v>458</v>
      </c>
      <c r="S8" s="11">
        <v>556</v>
      </c>
      <c r="T8" s="11">
        <v>615</v>
      </c>
      <c r="U8" s="11">
        <v>531</v>
      </c>
      <c r="V8" s="11">
        <v>224</v>
      </c>
      <c r="W8" s="11"/>
      <c r="X8" s="11">
        <v>1638</v>
      </c>
      <c r="Y8" s="11">
        <v>2004</v>
      </c>
    </row>
    <row r="9" spans="2:25" ht="29" x14ac:dyDescent="0.35">
      <c r="B9" s="18" t="s">
        <v>347</v>
      </c>
      <c r="C9" s="17">
        <v>0.11386261874319301</v>
      </c>
      <c r="D9" s="17">
        <v>0.110381663700393</v>
      </c>
      <c r="E9" s="17">
        <v>0.117468040863317</v>
      </c>
      <c r="F9" s="17"/>
      <c r="G9" s="17">
        <v>0.15424063372204999</v>
      </c>
      <c r="H9" s="17">
        <v>0.143103960695247</v>
      </c>
      <c r="I9" s="17">
        <v>0.107134335341127</v>
      </c>
      <c r="J9" s="17">
        <v>9.0700831947921695E-2</v>
      </c>
      <c r="K9" s="17">
        <v>0.10378803784972999</v>
      </c>
      <c r="L9" s="17">
        <v>0.10545168262809899</v>
      </c>
      <c r="M9" s="17"/>
      <c r="N9" s="17">
        <v>8.5120629319423893E-2</v>
      </c>
      <c r="O9" s="17">
        <v>6.9066277809950505E-2</v>
      </c>
      <c r="P9" s="17">
        <v>9.0484606464478201E-2</v>
      </c>
      <c r="Q9" s="17">
        <v>7.7273863590259104E-2</v>
      </c>
      <c r="R9" s="17">
        <v>0.13392752131205601</v>
      </c>
      <c r="S9" s="17">
        <v>7.9807897724244806E-2</v>
      </c>
      <c r="T9" s="17">
        <v>0.103862899436931</v>
      </c>
      <c r="U9" s="17">
        <v>0.213069483525924</v>
      </c>
      <c r="V9" s="17">
        <v>0.12500834330701399</v>
      </c>
      <c r="W9" s="17"/>
      <c r="X9" s="17">
        <v>8.8414174858140696E-2</v>
      </c>
      <c r="Y9" s="17">
        <v>0.13466947061638099</v>
      </c>
    </row>
    <row r="10" spans="2:25" ht="29" x14ac:dyDescent="0.35">
      <c r="B10" s="18" t="s">
        <v>348</v>
      </c>
      <c r="C10" s="17">
        <v>0.23883405603803101</v>
      </c>
      <c r="D10" s="17">
        <v>0.24282620927065299</v>
      </c>
      <c r="E10" s="17">
        <v>0.234216831508751</v>
      </c>
      <c r="F10" s="17"/>
      <c r="G10" s="17">
        <v>0.286772697379098</v>
      </c>
      <c r="H10" s="17">
        <v>0.23254693107854901</v>
      </c>
      <c r="I10" s="17">
        <v>0.232704671966763</v>
      </c>
      <c r="J10" s="17">
        <v>0.261232596662066</v>
      </c>
      <c r="K10" s="17">
        <v>0.22080835199547699</v>
      </c>
      <c r="L10" s="17">
        <v>0.182600565962689</v>
      </c>
      <c r="M10" s="17"/>
      <c r="N10" s="17">
        <v>0.26399703140735098</v>
      </c>
      <c r="O10" s="17">
        <v>0.243215832734619</v>
      </c>
      <c r="P10" s="17">
        <v>0.21661563789463401</v>
      </c>
      <c r="Q10" s="17">
        <v>0.20000930354608601</v>
      </c>
      <c r="R10" s="17">
        <v>0.27324670142370799</v>
      </c>
      <c r="S10" s="17">
        <v>0.173111814558775</v>
      </c>
      <c r="T10" s="17">
        <v>0.25609411749651001</v>
      </c>
      <c r="U10" s="17">
        <v>0.32030856669025298</v>
      </c>
      <c r="V10" s="17">
        <v>0.22300121494708</v>
      </c>
      <c r="W10" s="17"/>
      <c r="X10" s="17">
        <v>0.170979680498831</v>
      </c>
      <c r="Y10" s="17">
        <v>0.294312337820956</v>
      </c>
    </row>
    <row r="11" spans="2:25" ht="29" x14ac:dyDescent="0.35">
      <c r="B11" s="18" t="s">
        <v>349</v>
      </c>
      <c r="C11" s="17">
        <v>0.31024663160121002</v>
      </c>
      <c r="D11" s="17">
        <v>0.31311266505205898</v>
      </c>
      <c r="E11" s="17">
        <v>0.30711975601214903</v>
      </c>
      <c r="F11" s="17"/>
      <c r="G11" s="17">
        <v>0.30454542431649601</v>
      </c>
      <c r="H11" s="17">
        <v>0.31036107897920301</v>
      </c>
      <c r="I11" s="17">
        <v>0.33909813568925901</v>
      </c>
      <c r="J11" s="17">
        <v>0.32031229014774898</v>
      </c>
      <c r="K11" s="17">
        <v>0.29279210631416802</v>
      </c>
      <c r="L11" s="17">
        <v>0.19149409334478201</v>
      </c>
      <c r="M11" s="17"/>
      <c r="N11" s="17">
        <v>0.307556972519196</v>
      </c>
      <c r="O11" s="17">
        <v>0.32518076684355601</v>
      </c>
      <c r="P11" s="17">
        <v>0.377492605822079</v>
      </c>
      <c r="Q11" s="17">
        <v>0.30994207254959599</v>
      </c>
      <c r="R11" s="17">
        <v>0.31402112376005498</v>
      </c>
      <c r="S11" s="17">
        <v>0.32727855942234302</v>
      </c>
      <c r="T11" s="17">
        <v>0.30079963447748398</v>
      </c>
      <c r="U11" s="17">
        <v>0.23130038630466199</v>
      </c>
      <c r="V11" s="17">
        <v>0.316185067668876</v>
      </c>
      <c r="W11" s="17"/>
      <c r="X11" s="17">
        <v>0.28252658406036701</v>
      </c>
      <c r="Y11" s="17">
        <v>0.33291076484665599</v>
      </c>
    </row>
    <row r="12" spans="2:25" ht="29" x14ac:dyDescent="0.35">
      <c r="B12" s="18" t="s">
        <v>350</v>
      </c>
      <c r="C12" s="19">
        <v>0.33705669361756602</v>
      </c>
      <c r="D12" s="19">
        <v>0.33367946197689402</v>
      </c>
      <c r="E12" s="19">
        <v>0.34119537161578301</v>
      </c>
      <c r="F12" s="19"/>
      <c r="G12" s="19">
        <v>0.25444124458235701</v>
      </c>
      <c r="H12" s="19">
        <v>0.31398802924700098</v>
      </c>
      <c r="I12" s="19">
        <v>0.32106285700285098</v>
      </c>
      <c r="J12" s="19">
        <v>0.32775428124226302</v>
      </c>
      <c r="K12" s="19">
        <v>0.38261150384062498</v>
      </c>
      <c r="L12" s="19">
        <v>0.520453658064431</v>
      </c>
      <c r="M12" s="19"/>
      <c r="N12" s="19">
        <v>0.34332536675402903</v>
      </c>
      <c r="O12" s="19">
        <v>0.36253712261187498</v>
      </c>
      <c r="P12" s="19">
        <v>0.31540714981880902</v>
      </c>
      <c r="Q12" s="19">
        <v>0.41277476031405902</v>
      </c>
      <c r="R12" s="19">
        <v>0.27880465350418199</v>
      </c>
      <c r="S12" s="19">
        <v>0.41980172829463802</v>
      </c>
      <c r="T12" s="19">
        <v>0.33924334858907401</v>
      </c>
      <c r="U12" s="19">
        <v>0.235321563479161</v>
      </c>
      <c r="V12" s="19">
        <v>0.33580537407703098</v>
      </c>
      <c r="W12" s="19"/>
      <c r="X12" s="19">
        <v>0.45807956058266103</v>
      </c>
      <c r="Y12" s="19">
        <v>0.23810742671600599</v>
      </c>
    </row>
    <row r="13" spans="2:25" x14ac:dyDescent="0.35">
      <c r="B13" s="16" t="s">
        <v>534</v>
      </c>
    </row>
    <row r="14" spans="2:25" x14ac:dyDescent="0.35">
      <c r="B14" t="s">
        <v>51</v>
      </c>
    </row>
    <row r="15" spans="2:25" x14ac:dyDescent="0.35">
      <c r="B15" t="s">
        <v>52</v>
      </c>
    </row>
    <row r="17" spans="2:2" x14ac:dyDescent="0.35">
      <c r="B17" s="8" t="str">
        <f>HYPERLINK("#'Contents'!A1", "Return to Contents")</f>
        <v>Return to Contents</v>
      </c>
    </row>
  </sheetData>
  <mergeCells count="5">
    <mergeCell ref="D5:E5"/>
    <mergeCell ref="G5:L5"/>
    <mergeCell ref="N5:V5"/>
    <mergeCell ref="X5:Y5"/>
    <mergeCell ref="D2:W2"/>
  </mergeCells>
  <pageMargins left="0.7" right="0.7" top="0.75" bottom="0.75" header="0.3" footer="0.3"/>
  <pageSetup paperSize="9" orientation="portrait" horizontalDpi="300" verticalDpi="300"/>
  <drawing r:id="rId1"/>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600-000000000000}">
  <dimension ref="B2:Y17"/>
  <sheetViews>
    <sheetView showGridLines="0" topLeftCell="A7" workbookViewId="0">
      <pane xSplit="2" topLeftCell="C1" activePane="topRight" state="frozen"/>
      <selection pane="topRight" activeCell="B13" sqref="B13"/>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s>
  <sheetData>
    <row r="2" spans="2:25" ht="40" customHeight="1" x14ac:dyDescent="0.35">
      <c r="D2" s="30" t="s">
        <v>355</v>
      </c>
      <c r="E2" s="26"/>
      <c r="F2" s="26"/>
      <c r="G2" s="26"/>
      <c r="H2" s="26"/>
      <c r="I2" s="26"/>
      <c r="J2" s="26"/>
      <c r="K2" s="26"/>
      <c r="L2" s="26"/>
      <c r="M2" s="26"/>
      <c r="N2" s="26"/>
      <c r="O2" s="26"/>
      <c r="P2" s="26"/>
      <c r="Q2" s="26"/>
      <c r="R2" s="26"/>
      <c r="S2" s="26"/>
      <c r="T2" s="26"/>
      <c r="U2" s="26"/>
      <c r="V2" s="26"/>
      <c r="W2" s="26"/>
    </row>
    <row r="5" spans="2:25" ht="30" customHeight="1" x14ac:dyDescent="0.35">
      <c r="B5" s="15"/>
      <c r="C5" s="15"/>
      <c r="D5" s="29" t="s">
        <v>38</v>
      </c>
      <c r="E5" s="29"/>
      <c r="F5" s="15"/>
      <c r="G5" s="29" t="s">
        <v>39</v>
      </c>
      <c r="H5" s="29"/>
      <c r="I5" s="29"/>
      <c r="J5" s="29"/>
      <c r="K5" s="29"/>
      <c r="L5" s="29"/>
      <c r="M5" s="15"/>
      <c r="N5" s="29" t="s">
        <v>40</v>
      </c>
      <c r="O5" s="29"/>
      <c r="P5" s="29"/>
      <c r="Q5" s="29"/>
      <c r="R5" s="29"/>
      <c r="S5" s="29"/>
      <c r="T5" s="29"/>
      <c r="U5" s="29"/>
      <c r="V5" s="29"/>
      <c r="W5" s="15"/>
      <c r="X5" s="29" t="s">
        <v>41</v>
      </c>
      <c r="Y5" s="29"/>
    </row>
    <row r="6" spans="2:25" ht="29"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row>
    <row r="7" spans="2:25" ht="30" customHeight="1" x14ac:dyDescent="0.35">
      <c r="B7" s="10" t="s">
        <v>19</v>
      </c>
      <c r="C7" s="10">
        <v>3716</v>
      </c>
      <c r="D7" s="10">
        <v>1971</v>
      </c>
      <c r="E7" s="10">
        <v>1736</v>
      </c>
      <c r="F7" s="10"/>
      <c r="G7" s="10">
        <v>251</v>
      </c>
      <c r="H7" s="10">
        <v>847</v>
      </c>
      <c r="I7" s="10">
        <v>873</v>
      </c>
      <c r="J7" s="10">
        <v>919</v>
      </c>
      <c r="K7" s="10">
        <v>652</v>
      </c>
      <c r="L7" s="10">
        <v>174</v>
      </c>
      <c r="M7" s="10"/>
      <c r="N7" s="10">
        <v>101</v>
      </c>
      <c r="O7" s="10">
        <v>101</v>
      </c>
      <c r="P7" s="10">
        <v>508</v>
      </c>
      <c r="Q7" s="10">
        <v>536</v>
      </c>
      <c r="R7" s="10">
        <v>488</v>
      </c>
      <c r="S7" s="10">
        <v>546</v>
      </c>
      <c r="T7" s="10">
        <v>648</v>
      </c>
      <c r="U7" s="10">
        <v>573</v>
      </c>
      <c r="V7" s="10">
        <v>215</v>
      </c>
      <c r="W7" s="10"/>
      <c r="X7" s="10">
        <v>1783</v>
      </c>
      <c r="Y7" s="10">
        <v>1933</v>
      </c>
    </row>
    <row r="8" spans="2:25" ht="30" customHeight="1" x14ac:dyDescent="0.35">
      <c r="B8" s="11" t="s">
        <v>20</v>
      </c>
      <c r="C8" s="11">
        <v>3642</v>
      </c>
      <c r="D8" s="11">
        <v>1990</v>
      </c>
      <c r="E8" s="11">
        <v>1643</v>
      </c>
      <c r="F8" s="11"/>
      <c r="G8" s="11">
        <v>263</v>
      </c>
      <c r="H8" s="11">
        <v>804</v>
      </c>
      <c r="I8" s="11">
        <v>885</v>
      </c>
      <c r="J8" s="11">
        <v>875</v>
      </c>
      <c r="K8" s="11">
        <v>630</v>
      </c>
      <c r="L8" s="11">
        <v>185</v>
      </c>
      <c r="M8" s="11"/>
      <c r="N8" s="11">
        <v>106</v>
      </c>
      <c r="O8" s="11">
        <v>95</v>
      </c>
      <c r="P8" s="11">
        <v>509</v>
      </c>
      <c r="Q8" s="11">
        <v>549</v>
      </c>
      <c r="R8" s="11">
        <v>458</v>
      </c>
      <c r="S8" s="11">
        <v>556</v>
      </c>
      <c r="T8" s="11">
        <v>615</v>
      </c>
      <c r="U8" s="11">
        <v>531</v>
      </c>
      <c r="V8" s="11">
        <v>224</v>
      </c>
      <c r="W8" s="11"/>
      <c r="X8" s="11">
        <v>1638</v>
      </c>
      <c r="Y8" s="11">
        <v>2004</v>
      </c>
    </row>
    <row r="9" spans="2:25" ht="29" x14ac:dyDescent="0.35">
      <c r="B9" s="18" t="s">
        <v>347</v>
      </c>
      <c r="C9" s="17">
        <v>6.0066386884477699E-2</v>
      </c>
      <c r="D9" s="17">
        <v>5.6357014191682299E-2</v>
      </c>
      <c r="E9" s="17">
        <v>6.4333517806492102E-2</v>
      </c>
      <c r="F9" s="17"/>
      <c r="G9" s="17">
        <v>4.67020699382256E-2</v>
      </c>
      <c r="H9" s="17">
        <v>7.95233195085739E-2</v>
      </c>
      <c r="I9" s="17">
        <v>7.7635133269967793E-2</v>
      </c>
      <c r="J9" s="17">
        <v>4.9982681426419699E-2</v>
      </c>
      <c r="K9" s="17">
        <v>3.8787744879625698E-2</v>
      </c>
      <c r="L9" s="17">
        <v>3.0646810831209299E-2</v>
      </c>
      <c r="M9" s="17"/>
      <c r="N9" s="17">
        <v>6.3336848841179696E-2</v>
      </c>
      <c r="O9" s="17">
        <v>5.2840418819305804E-3</v>
      </c>
      <c r="P9" s="17">
        <v>6.4018530691616699E-2</v>
      </c>
      <c r="Q9" s="17">
        <v>5.7853669415453703E-2</v>
      </c>
      <c r="R9" s="17">
        <v>5.5770474062362699E-2</v>
      </c>
      <c r="S9" s="17">
        <v>4.6789882228905802E-2</v>
      </c>
      <c r="T9" s="17">
        <v>5.6606032697296201E-2</v>
      </c>
      <c r="U9" s="17">
        <v>8.9556332429680696E-2</v>
      </c>
      <c r="V9" s="17">
        <v>5.9493454086173597E-2</v>
      </c>
      <c r="W9" s="17"/>
      <c r="X9" s="17">
        <v>6.5134701274376899E-2</v>
      </c>
      <c r="Y9" s="17">
        <v>5.5922492380211797E-2</v>
      </c>
    </row>
    <row r="10" spans="2:25" ht="29" x14ac:dyDescent="0.35">
      <c r="B10" s="18" t="s">
        <v>348</v>
      </c>
      <c r="C10" s="17">
        <v>0.17793540452880299</v>
      </c>
      <c r="D10" s="17">
        <v>0.17351795218242499</v>
      </c>
      <c r="E10" s="17">
        <v>0.18306866651720799</v>
      </c>
      <c r="F10" s="17"/>
      <c r="G10" s="17">
        <v>0.20967275094194501</v>
      </c>
      <c r="H10" s="17">
        <v>0.19967523774144399</v>
      </c>
      <c r="I10" s="17">
        <v>0.21169185694897699</v>
      </c>
      <c r="J10" s="17">
        <v>0.16399157262761799</v>
      </c>
      <c r="K10" s="17">
        <v>0.124282841438993</v>
      </c>
      <c r="L10" s="17">
        <v>0.12550362361869</v>
      </c>
      <c r="M10" s="17"/>
      <c r="N10" s="17">
        <v>0.13688067952076499</v>
      </c>
      <c r="O10" s="17">
        <v>0.12597288879951099</v>
      </c>
      <c r="P10" s="17">
        <v>0.157902357267688</v>
      </c>
      <c r="Q10" s="17">
        <v>0.17245055846330601</v>
      </c>
      <c r="R10" s="17">
        <v>0.17297586369632101</v>
      </c>
      <c r="S10" s="17">
        <v>0.16154610831917099</v>
      </c>
      <c r="T10" s="17">
        <v>0.18801969623879899</v>
      </c>
      <c r="U10" s="17">
        <v>0.23044871015850599</v>
      </c>
      <c r="V10" s="17">
        <v>0.17696647501422499</v>
      </c>
      <c r="W10" s="17"/>
      <c r="X10" s="17">
        <v>0.197190046296257</v>
      </c>
      <c r="Y10" s="17">
        <v>0.162192654954946</v>
      </c>
    </row>
    <row r="11" spans="2:25" ht="29" x14ac:dyDescent="0.35">
      <c r="B11" s="18" t="s">
        <v>349</v>
      </c>
      <c r="C11" s="17">
        <v>0.35314378328187801</v>
      </c>
      <c r="D11" s="17">
        <v>0.36769900889755602</v>
      </c>
      <c r="E11" s="17">
        <v>0.334959455664679</v>
      </c>
      <c r="F11" s="17"/>
      <c r="G11" s="17">
        <v>0.34630143300375499</v>
      </c>
      <c r="H11" s="17">
        <v>0.37749527188214199</v>
      </c>
      <c r="I11" s="17">
        <v>0.35178093620421402</v>
      </c>
      <c r="J11" s="17">
        <v>0.35962920892190597</v>
      </c>
      <c r="K11" s="17">
        <v>0.334804675935301</v>
      </c>
      <c r="L11" s="17">
        <v>0.295278775575532</v>
      </c>
      <c r="M11" s="17"/>
      <c r="N11" s="17">
        <v>0.39263880555487102</v>
      </c>
      <c r="O11" s="17">
        <v>0.45668064986915302</v>
      </c>
      <c r="P11" s="17">
        <v>0.42085111720020202</v>
      </c>
      <c r="Q11" s="17">
        <v>0.244363843626932</v>
      </c>
      <c r="R11" s="17">
        <v>0.35307018547303698</v>
      </c>
      <c r="S11" s="17">
        <v>0.36977638339587698</v>
      </c>
      <c r="T11" s="17">
        <v>0.34938693392625603</v>
      </c>
      <c r="U11" s="17">
        <v>0.36510027911384602</v>
      </c>
      <c r="V11" s="17">
        <v>0.34441444607256799</v>
      </c>
      <c r="W11" s="17"/>
      <c r="X11" s="17">
        <v>0.318029801809529</v>
      </c>
      <c r="Y11" s="17">
        <v>0.38185325622541699</v>
      </c>
    </row>
    <row r="12" spans="2:25" ht="29" x14ac:dyDescent="0.35">
      <c r="B12" s="18" t="s">
        <v>350</v>
      </c>
      <c r="C12" s="19">
        <v>0.40885442530484101</v>
      </c>
      <c r="D12" s="19">
        <v>0.402426024728337</v>
      </c>
      <c r="E12" s="19">
        <v>0.41763836001162102</v>
      </c>
      <c r="F12" s="19"/>
      <c r="G12" s="19">
        <v>0.39732374611607402</v>
      </c>
      <c r="H12" s="19">
        <v>0.34330617086783899</v>
      </c>
      <c r="I12" s="19">
        <v>0.358892073576842</v>
      </c>
      <c r="J12" s="19">
        <v>0.426396537024056</v>
      </c>
      <c r="K12" s="19">
        <v>0.50212473774608102</v>
      </c>
      <c r="L12" s="19">
        <v>0.54857078997456898</v>
      </c>
      <c r="M12" s="19"/>
      <c r="N12" s="19">
        <v>0.40714366608318397</v>
      </c>
      <c r="O12" s="19">
        <v>0.41206241944940503</v>
      </c>
      <c r="P12" s="19">
        <v>0.357227994840494</v>
      </c>
      <c r="Q12" s="19">
        <v>0.52533192849430799</v>
      </c>
      <c r="R12" s="19">
        <v>0.41818347676827899</v>
      </c>
      <c r="S12" s="19">
        <v>0.42188762605604602</v>
      </c>
      <c r="T12" s="19">
        <v>0.40598733713764801</v>
      </c>
      <c r="U12" s="19">
        <v>0.31489467829796702</v>
      </c>
      <c r="V12" s="19">
        <v>0.41912562482703403</v>
      </c>
      <c r="W12" s="19"/>
      <c r="X12" s="19">
        <v>0.41964545061983699</v>
      </c>
      <c r="Y12" s="19">
        <v>0.40003159643942499</v>
      </c>
    </row>
    <row r="13" spans="2:25" x14ac:dyDescent="0.35">
      <c r="B13" s="16" t="s">
        <v>534</v>
      </c>
    </row>
    <row r="14" spans="2:25" x14ac:dyDescent="0.35">
      <c r="B14" t="s">
        <v>51</v>
      </c>
    </row>
    <row r="15" spans="2:25" x14ac:dyDescent="0.35">
      <c r="B15" t="s">
        <v>52</v>
      </c>
    </row>
    <row r="17" spans="2:2" x14ac:dyDescent="0.35">
      <c r="B17" s="8" t="str">
        <f>HYPERLINK("#'Contents'!A1", "Return to Contents")</f>
        <v>Return to Contents</v>
      </c>
    </row>
  </sheetData>
  <mergeCells count="5">
    <mergeCell ref="D5:E5"/>
    <mergeCell ref="G5:L5"/>
    <mergeCell ref="N5:V5"/>
    <mergeCell ref="X5:Y5"/>
    <mergeCell ref="D2:W2"/>
  </mergeCells>
  <pageMargins left="0.7" right="0.7" top="0.75" bottom="0.75" header="0.3" footer="0.3"/>
  <pageSetup paperSize="9" orientation="portrait" horizontalDpi="300" verticalDpi="300"/>
  <drawing r:id="rId1"/>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700-000000000000}">
  <dimension ref="B2:Y17"/>
  <sheetViews>
    <sheetView showGridLines="0" topLeftCell="A7" workbookViewId="0">
      <pane xSplit="2" topLeftCell="C1" activePane="topRight" state="frozen"/>
      <selection pane="topRight" activeCell="B13" sqref="B13"/>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s>
  <sheetData>
    <row r="2" spans="2:25" ht="40" customHeight="1" x14ac:dyDescent="0.35">
      <c r="D2" s="30" t="s">
        <v>356</v>
      </c>
      <c r="E2" s="26"/>
      <c r="F2" s="26"/>
      <c r="G2" s="26"/>
      <c r="H2" s="26"/>
      <c r="I2" s="26"/>
      <c r="J2" s="26"/>
      <c r="K2" s="26"/>
      <c r="L2" s="26"/>
      <c r="M2" s="26"/>
      <c r="N2" s="26"/>
      <c r="O2" s="26"/>
      <c r="P2" s="26"/>
      <c r="Q2" s="26"/>
      <c r="R2" s="26"/>
      <c r="S2" s="26"/>
      <c r="T2" s="26"/>
      <c r="U2" s="26"/>
      <c r="V2" s="26"/>
      <c r="W2" s="26"/>
    </row>
    <row r="5" spans="2:25" ht="30" customHeight="1" x14ac:dyDescent="0.35">
      <c r="B5" s="15"/>
      <c r="C5" s="15"/>
      <c r="D5" s="29" t="s">
        <v>38</v>
      </c>
      <c r="E5" s="29"/>
      <c r="F5" s="15"/>
      <c r="G5" s="29" t="s">
        <v>39</v>
      </c>
      <c r="H5" s="29"/>
      <c r="I5" s="29"/>
      <c r="J5" s="29"/>
      <c r="K5" s="29"/>
      <c r="L5" s="29"/>
      <c r="M5" s="15"/>
      <c r="N5" s="29" t="s">
        <v>40</v>
      </c>
      <c r="O5" s="29"/>
      <c r="P5" s="29"/>
      <c r="Q5" s="29"/>
      <c r="R5" s="29"/>
      <c r="S5" s="29"/>
      <c r="T5" s="29"/>
      <c r="U5" s="29"/>
      <c r="V5" s="29"/>
      <c r="W5" s="15"/>
      <c r="X5" s="29" t="s">
        <v>41</v>
      </c>
      <c r="Y5" s="29"/>
    </row>
    <row r="6" spans="2:25" ht="29"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row>
    <row r="7" spans="2:25" ht="30" customHeight="1" x14ac:dyDescent="0.35">
      <c r="B7" s="10" t="s">
        <v>19</v>
      </c>
      <c r="C7" s="10">
        <v>3716</v>
      </c>
      <c r="D7" s="10">
        <v>1971</v>
      </c>
      <c r="E7" s="10">
        <v>1736</v>
      </c>
      <c r="F7" s="10"/>
      <c r="G7" s="10">
        <v>251</v>
      </c>
      <c r="H7" s="10">
        <v>847</v>
      </c>
      <c r="I7" s="10">
        <v>873</v>
      </c>
      <c r="J7" s="10">
        <v>919</v>
      </c>
      <c r="K7" s="10">
        <v>652</v>
      </c>
      <c r="L7" s="10">
        <v>174</v>
      </c>
      <c r="M7" s="10"/>
      <c r="N7" s="10">
        <v>101</v>
      </c>
      <c r="O7" s="10">
        <v>101</v>
      </c>
      <c r="P7" s="10">
        <v>508</v>
      </c>
      <c r="Q7" s="10">
        <v>536</v>
      </c>
      <c r="R7" s="10">
        <v>488</v>
      </c>
      <c r="S7" s="10">
        <v>546</v>
      </c>
      <c r="T7" s="10">
        <v>648</v>
      </c>
      <c r="U7" s="10">
        <v>573</v>
      </c>
      <c r="V7" s="10">
        <v>215</v>
      </c>
      <c r="W7" s="10"/>
      <c r="X7" s="10">
        <v>1783</v>
      </c>
      <c r="Y7" s="10">
        <v>1933</v>
      </c>
    </row>
    <row r="8" spans="2:25" ht="30" customHeight="1" x14ac:dyDescent="0.35">
      <c r="B8" s="11" t="s">
        <v>20</v>
      </c>
      <c r="C8" s="11">
        <v>3642</v>
      </c>
      <c r="D8" s="11">
        <v>1990</v>
      </c>
      <c r="E8" s="11">
        <v>1643</v>
      </c>
      <c r="F8" s="11"/>
      <c r="G8" s="11">
        <v>263</v>
      </c>
      <c r="H8" s="11">
        <v>804</v>
      </c>
      <c r="I8" s="11">
        <v>885</v>
      </c>
      <c r="J8" s="11">
        <v>875</v>
      </c>
      <c r="K8" s="11">
        <v>630</v>
      </c>
      <c r="L8" s="11">
        <v>185</v>
      </c>
      <c r="M8" s="11"/>
      <c r="N8" s="11">
        <v>106</v>
      </c>
      <c r="O8" s="11">
        <v>95</v>
      </c>
      <c r="P8" s="11">
        <v>509</v>
      </c>
      <c r="Q8" s="11">
        <v>549</v>
      </c>
      <c r="R8" s="11">
        <v>458</v>
      </c>
      <c r="S8" s="11">
        <v>556</v>
      </c>
      <c r="T8" s="11">
        <v>615</v>
      </c>
      <c r="U8" s="11">
        <v>531</v>
      </c>
      <c r="V8" s="11">
        <v>224</v>
      </c>
      <c r="W8" s="11"/>
      <c r="X8" s="11">
        <v>1638</v>
      </c>
      <c r="Y8" s="11">
        <v>2004</v>
      </c>
    </row>
    <row r="9" spans="2:25" ht="29" x14ac:dyDescent="0.35">
      <c r="B9" s="18" t="s">
        <v>347</v>
      </c>
      <c r="C9" s="17">
        <v>0.103227258033924</v>
      </c>
      <c r="D9" s="17">
        <v>9.2855242026618198E-2</v>
      </c>
      <c r="E9" s="17">
        <v>0.114210296249523</v>
      </c>
      <c r="F9" s="17"/>
      <c r="G9" s="17">
        <v>0.113816241377192</v>
      </c>
      <c r="H9" s="17">
        <v>0.125995696863198</v>
      </c>
      <c r="I9" s="17">
        <v>0.10367978563169999</v>
      </c>
      <c r="J9" s="17">
        <v>9.49852924914555E-2</v>
      </c>
      <c r="K9" s="17">
        <v>9.0638551698668204E-2</v>
      </c>
      <c r="L9" s="17">
        <v>6.8895931873143995E-2</v>
      </c>
      <c r="M9" s="17"/>
      <c r="N9" s="17">
        <v>8.1154344837816E-2</v>
      </c>
      <c r="O9" s="17">
        <v>3.8245105099652302E-2</v>
      </c>
      <c r="P9" s="17">
        <v>0.12597448422903601</v>
      </c>
      <c r="Q9" s="17">
        <v>7.2695068013503894E-2</v>
      </c>
      <c r="R9" s="17">
        <v>0.11904878891595801</v>
      </c>
      <c r="S9" s="17">
        <v>7.8527048020964302E-2</v>
      </c>
      <c r="T9" s="17">
        <v>7.0093069451701101E-2</v>
      </c>
      <c r="U9" s="17">
        <v>0.17769357940730901</v>
      </c>
      <c r="V9" s="17">
        <v>0.10773853347019401</v>
      </c>
      <c r="W9" s="17"/>
      <c r="X9" s="17">
        <v>8.3875682101413801E-2</v>
      </c>
      <c r="Y9" s="17">
        <v>0.11904926175875701</v>
      </c>
    </row>
    <row r="10" spans="2:25" ht="29" x14ac:dyDescent="0.35">
      <c r="B10" s="18" t="s">
        <v>348</v>
      </c>
      <c r="C10" s="17">
        <v>0.183275114103266</v>
      </c>
      <c r="D10" s="17">
        <v>0.18125889835904399</v>
      </c>
      <c r="E10" s="17">
        <v>0.18602569419753501</v>
      </c>
      <c r="F10" s="17"/>
      <c r="G10" s="17">
        <v>0.325821619975733</v>
      </c>
      <c r="H10" s="17">
        <v>0.20806156316437699</v>
      </c>
      <c r="I10" s="17">
        <v>0.16312721165549299</v>
      </c>
      <c r="J10" s="17">
        <v>0.183087294886875</v>
      </c>
      <c r="K10" s="17">
        <v>0.134514225312557</v>
      </c>
      <c r="L10" s="17">
        <v>0.136071713464747</v>
      </c>
      <c r="M10" s="17"/>
      <c r="N10" s="17">
        <v>0.24272413015935301</v>
      </c>
      <c r="O10" s="17">
        <v>0.17598677240484301</v>
      </c>
      <c r="P10" s="17">
        <v>0.16535943792548199</v>
      </c>
      <c r="Q10" s="17">
        <v>0.15894858216411101</v>
      </c>
      <c r="R10" s="17">
        <v>0.171768574265071</v>
      </c>
      <c r="S10" s="17">
        <v>0.142338918645631</v>
      </c>
      <c r="T10" s="17">
        <v>0.235793184919941</v>
      </c>
      <c r="U10" s="17">
        <v>0.20074673059522699</v>
      </c>
      <c r="V10" s="17">
        <v>0.198157622275525</v>
      </c>
      <c r="W10" s="17"/>
      <c r="X10" s="17">
        <v>0.19211953489771999</v>
      </c>
      <c r="Y10" s="17">
        <v>0.17604384470991499</v>
      </c>
    </row>
    <row r="11" spans="2:25" ht="29" x14ac:dyDescent="0.35">
      <c r="B11" s="18" t="s">
        <v>349</v>
      </c>
      <c r="C11" s="17">
        <v>0.28652206455500401</v>
      </c>
      <c r="D11" s="17">
        <v>0.29186155366142502</v>
      </c>
      <c r="E11" s="17">
        <v>0.28086181999204402</v>
      </c>
      <c r="F11" s="17"/>
      <c r="G11" s="17">
        <v>0.27459288117478098</v>
      </c>
      <c r="H11" s="17">
        <v>0.27785796467328699</v>
      </c>
      <c r="I11" s="17">
        <v>0.33566485869683199</v>
      </c>
      <c r="J11" s="17">
        <v>0.28295545506245501</v>
      </c>
      <c r="K11" s="17">
        <v>0.26485984135125601</v>
      </c>
      <c r="L11" s="17">
        <v>0.196592122946746</v>
      </c>
      <c r="M11" s="17"/>
      <c r="N11" s="17">
        <v>0.26741197740990802</v>
      </c>
      <c r="O11" s="17">
        <v>0.32013332206289702</v>
      </c>
      <c r="P11" s="17">
        <v>0.30943942574363598</v>
      </c>
      <c r="Q11" s="17">
        <v>0.233821834714835</v>
      </c>
      <c r="R11" s="17">
        <v>0.23564339857636499</v>
      </c>
      <c r="S11" s="17">
        <v>0.30649118319406898</v>
      </c>
      <c r="T11" s="17">
        <v>0.32571348660767202</v>
      </c>
      <c r="U11" s="17">
        <v>0.288293074681922</v>
      </c>
      <c r="V11" s="17">
        <v>0.30123889354065703</v>
      </c>
      <c r="W11" s="17"/>
      <c r="X11" s="17">
        <v>0.27598775827315503</v>
      </c>
      <c r="Y11" s="17">
        <v>0.29513499787946501</v>
      </c>
    </row>
    <row r="12" spans="2:25" ht="29" x14ac:dyDescent="0.35">
      <c r="B12" s="18" t="s">
        <v>350</v>
      </c>
      <c r="C12" s="19">
        <v>0.42697556330780601</v>
      </c>
      <c r="D12" s="19">
        <v>0.43402430595291303</v>
      </c>
      <c r="E12" s="19">
        <v>0.41890218956089798</v>
      </c>
      <c r="F12" s="19"/>
      <c r="G12" s="19">
        <v>0.28576925747229398</v>
      </c>
      <c r="H12" s="19">
        <v>0.38808477529913898</v>
      </c>
      <c r="I12" s="19">
        <v>0.39752814401597503</v>
      </c>
      <c r="J12" s="19">
        <v>0.43897195755921498</v>
      </c>
      <c r="K12" s="19">
        <v>0.509987381637519</v>
      </c>
      <c r="L12" s="19">
        <v>0.59844023171536298</v>
      </c>
      <c r="M12" s="19"/>
      <c r="N12" s="19">
        <v>0.40870954759292299</v>
      </c>
      <c r="O12" s="19">
        <v>0.46563480043260702</v>
      </c>
      <c r="P12" s="19">
        <v>0.39922665210184599</v>
      </c>
      <c r="Q12" s="19">
        <v>0.53453451510755001</v>
      </c>
      <c r="R12" s="19">
        <v>0.47353923824260702</v>
      </c>
      <c r="S12" s="19">
        <v>0.47264285013933499</v>
      </c>
      <c r="T12" s="19">
        <v>0.36840025902068702</v>
      </c>
      <c r="U12" s="19">
        <v>0.33326661531554203</v>
      </c>
      <c r="V12" s="19">
        <v>0.39286495071362498</v>
      </c>
      <c r="W12" s="19"/>
      <c r="X12" s="19">
        <v>0.44801702472770999</v>
      </c>
      <c r="Y12" s="19">
        <v>0.40977189565186201</v>
      </c>
    </row>
    <row r="13" spans="2:25" x14ac:dyDescent="0.35">
      <c r="B13" s="16" t="s">
        <v>534</v>
      </c>
    </row>
    <row r="14" spans="2:25" x14ac:dyDescent="0.35">
      <c r="B14" t="s">
        <v>51</v>
      </c>
    </row>
    <row r="15" spans="2:25" x14ac:dyDescent="0.35">
      <c r="B15" t="s">
        <v>52</v>
      </c>
    </row>
    <row r="17" spans="2:2" x14ac:dyDescent="0.35">
      <c r="B17" s="8" t="str">
        <f>HYPERLINK("#'Contents'!A1", "Return to Contents")</f>
        <v>Return to Contents</v>
      </c>
    </row>
  </sheetData>
  <mergeCells count="5">
    <mergeCell ref="D5:E5"/>
    <mergeCell ref="G5:L5"/>
    <mergeCell ref="N5:V5"/>
    <mergeCell ref="X5:Y5"/>
    <mergeCell ref="D2:W2"/>
  </mergeCells>
  <pageMargins left="0.7" right="0.7" top="0.75" bottom="0.75" header="0.3" footer="0.3"/>
  <pageSetup paperSize="9" orientation="portrait" horizontalDpi="300" verticalDpi="300"/>
  <drawing r:id="rId1"/>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800-000000000000}">
  <dimension ref="B2:Y17"/>
  <sheetViews>
    <sheetView showGridLines="0" topLeftCell="A7" workbookViewId="0">
      <pane xSplit="2" topLeftCell="C1" activePane="topRight" state="frozen"/>
      <selection pane="topRight" activeCell="B13" sqref="B13"/>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s>
  <sheetData>
    <row r="2" spans="2:25" ht="40" customHeight="1" x14ac:dyDescent="0.35">
      <c r="D2" s="30" t="s">
        <v>357</v>
      </c>
      <c r="E2" s="26"/>
      <c r="F2" s="26"/>
      <c r="G2" s="26"/>
      <c r="H2" s="26"/>
      <c r="I2" s="26"/>
      <c r="J2" s="26"/>
      <c r="K2" s="26"/>
      <c r="L2" s="26"/>
      <c r="M2" s="26"/>
      <c r="N2" s="26"/>
      <c r="O2" s="26"/>
      <c r="P2" s="26"/>
      <c r="Q2" s="26"/>
      <c r="R2" s="26"/>
      <c r="S2" s="26"/>
      <c r="T2" s="26"/>
      <c r="U2" s="26"/>
      <c r="V2" s="26"/>
      <c r="W2" s="26"/>
    </row>
    <row r="5" spans="2:25" ht="30" customHeight="1" x14ac:dyDescent="0.35">
      <c r="B5" s="15"/>
      <c r="C5" s="15"/>
      <c r="D5" s="29" t="s">
        <v>38</v>
      </c>
      <c r="E5" s="29"/>
      <c r="F5" s="15"/>
      <c r="G5" s="29" t="s">
        <v>39</v>
      </c>
      <c r="H5" s="29"/>
      <c r="I5" s="29"/>
      <c r="J5" s="29"/>
      <c r="K5" s="29"/>
      <c r="L5" s="29"/>
      <c r="M5" s="15"/>
      <c r="N5" s="29" t="s">
        <v>40</v>
      </c>
      <c r="O5" s="29"/>
      <c r="P5" s="29"/>
      <c r="Q5" s="29"/>
      <c r="R5" s="29"/>
      <c r="S5" s="29"/>
      <c r="T5" s="29"/>
      <c r="U5" s="29"/>
      <c r="V5" s="29"/>
      <c r="W5" s="15"/>
      <c r="X5" s="29" t="s">
        <v>41</v>
      </c>
      <c r="Y5" s="29"/>
    </row>
    <row r="6" spans="2:25" ht="29"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row>
    <row r="7" spans="2:25" ht="30" customHeight="1" x14ac:dyDescent="0.35">
      <c r="B7" s="10" t="s">
        <v>19</v>
      </c>
      <c r="C7" s="10">
        <v>3716</v>
      </c>
      <c r="D7" s="10">
        <v>1971</v>
      </c>
      <c r="E7" s="10">
        <v>1736</v>
      </c>
      <c r="F7" s="10"/>
      <c r="G7" s="10">
        <v>251</v>
      </c>
      <c r="H7" s="10">
        <v>847</v>
      </c>
      <c r="I7" s="10">
        <v>873</v>
      </c>
      <c r="J7" s="10">
        <v>919</v>
      </c>
      <c r="K7" s="10">
        <v>652</v>
      </c>
      <c r="L7" s="10">
        <v>174</v>
      </c>
      <c r="M7" s="10"/>
      <c r="N7" s="10">
        <v>101</v>
      </c>
      <c r="O7" s="10">
        <v>101</v>
      </c>
      <c r="P7" s="10">
        <v>508</v>
      </c>
      <c r="Q7" s="10">
        <v>536</v>
      </c>
      <c r="R7" s="10">
        <v>488</v>
      </c>
      <c r="S7" s="10">
        <v>546</v>
      </c>
      <c r="T7" s="10">
        <v>648</v>
      </c>
      <c r="U7" s="10">
        <v>573</v>
      </c>
      <c r="V7" s="10">
        <v>215</v>
      </c>
      <c r="W7" s="10"/>
      <c r="X7" s="10">
        <v>1783</v>
      </c>
      <c r="Y7" s="10">
        <v>1933</v>
      </c>
    </row>
    <row r="8" spans="2:25" ht="30" customHeight="1" x14ac:dyDescent="0.35">
      <c r="B8" s="11" t="s">
        <v>20</v>
      </c>
      <c r="C8" s="11">
        <v>3642</v>
      </c>
      <c r="D8" s="11">
        <v>1990</v>
      </c>
      <c r="E8" s="11">
        <v>1643</v>
      </c>
      <c r="F8" s="11"/>
      <c r="G8" s="11">
        <v>263</v>
      </c>
      <c r="H8" s="11">
        <v>804</v>
      </c>
      <c r="I8" s="11">
        <v>885</v>
      </c>
      <c r="J8" s="11">
        <v>875</v>
      </c>
      <c r="K8" s="11">
        <v>630</v>
      </c>
      <c r="L8" s="11">
        <v>185</v>
      </c>
      <c r="M8" s="11"/>
      <c r="N8" s="11">
        <v>106</v>
      </c>
      <c r="O8" s="11">
        <v>95</v>
      </c>
      <c r="P8" s="11">
        <v>509</v>
      </c>
      <c r="Q8" s="11">
        <v>549</v>
      </c>
      <c r="R8" s="11">
        <v>458</v>
      </c>
      <c r="S8" s="11">
        <v>556</v>
      </c>
      <c r="T8" s="11">
        <v>615</v>
      </c>
      <c r="U8" s="11">
        <v>531</v>
      </c>
      <c r="V8" s="11">
        <v>224</v>
      </c>
      <c r="W8" s="11"/>
      <c r="X8" s="11">
        <v>1638</v>
      </c>
      <c r="Y8" s="11">
        <v>2004</v>
      </c>
    </row>
    <row r="9" spans="2:25" ht="29" x14ac:dyDescent="0.35">
      <c r="B9" s="18" t="s">
        <v>347</v>
      </c>
      <c r="C9" s="17">
        <v>9.4488599381754398E-2</v>
      </c>
      <c r="D9" s="17">
        <v>8.6332137923502E-2</v>
      </c>
      <c r="E9" s="17">
        <v>0.102740534460747</v>
      </c>
      <c r="F9" s="17"/>
      <c r="G9" s="17">
        <v>0.14418305039036999</v>
      </c>
      <c r="H9" s="17">
        <v>0.126541721808378</v>
      </c>
      <c r="I9" s="17">
        <v>8.2325717839850293E-2</v>
      </c>
      <c r="J9" s="17">
        <v>8.1101659921532704E-2</v>
      </c>
      <c r="K9" s="17">
        <v>6.92931759001187E-2</v>
      </c>
      <c r="L9" s="17">
        <v>9.1862556000933099E-2</v>
      </c>
      <c r="M9" s="17"/>
      <c r="N9" s="17">
        <v>8.3937072812908603E-2</v>
      </c>
      <c r="O9" s="17">
        <v>5.1486889496054303E-2</v>
      </c>
      <c r="P9" s="17">
        <v>9.8937440072211905E-2</v>
      </c>
      <c r="Q9" s="17">
        <v>6.5042734035458599E-2</v>
      </c>
      <c r="R9" s="17">
        <v>9.7936583645878095E-2</v>
      </c>
      <c r="S9" s="17">
        <v>7.1315800551055297E-2</v>
      </c>
      <c r="T9" s="17">
        <v>8.23108123436216E-2</v>
      </c>
      <c r="U9" s="17">
        <v>0.15987199534695301</v>
      </c>
      <c r="V9" s="17">
        <v>0.108685887224971</v>
      </c>
      <c r="W9" s="17"/>
      <c r="X9" s="17">
        <v>9.6702328210640495E-2</v>
      </c>
      <c r="Y9" s="17">
        <v>9.2678636932258807E-2</v>
      </c>
    </row>
    <row r="10" spans="2:25" ht="29" x14ac:dyDescent="0.35">
      <c r="B10" s="18" t="s">
        <v>348</v>
      </c>
      <c r="C10" s="17">
        <v>0.23022681469956799</v>
      </c>
      <c r="D10" s="17">
        <v>0.227077631643859</v>
      </c>
      <c r="E10" s="17">
        <v>0.23405823228792999</v>
      </c>
      <c r="F10" s="17"/>
      <c r="G10" s="17">
        <v>0.33969542886000897</v>
      </c>
      <c r="H10" s="17">
        <v>0.295195151660337</v>
      </c>
      <c r="I10" s="17">
        <v>0.238996838155489</v>
      </c>
      <c r="J10" s="17">
        <v>0.21050618963787199</v>
      </c>
      <c r="K10" s="17">
        <v>0.150503418057857</v>
      </c>
      <c r="L10" s="17">
        <v>0.114947457656202</v>
      </c>
      <c r="M10" s="17"/>
      <c r="N10" s="17">
        <v>0.29683811838666302</v>
      </c>
      <c r="O10" s="17">
        <v>0.223366244109588</v>
      </c>
      <c r="P10" s="17">
        <v>0.21487777950975401</v>
      </c>
      <c r="Q10" s="17">
        <v>0.20140462019069699</v>
      </c>
      <c r="R10" s="17">
        <v>0.25698395674839603</v>
      </c>
      <c r="S10" s="17">
        <v>0.17064663887013101</v>
      </c>
      <c r="T10" s="17">
        <v>0.28390659251137002</v>
      </c>
      <c r="U10" s="17">
        <v>0.247370165681851</v>
      </c>
      <c r="V10" s="17">
        <v>0.21229272233320301</v>
      </c>
      <c r="W10" s="17"/>
      <c r="X10" s="17">
        <v>0.22345017054382299</v>
      </c>
      <c r="Y10" s="17">
        <v>0.23576745332497101</v>
      </c>
    </row>
    <row r="11" spans="2:25" ht="29" x14ac:dyDescent="0.35">
      <c r="B11" s="18" t="s">
        <v>349</v>
      </c>
      <c r="C11" s="17">
        <v>0.33189290849535702</v>
      </c>
      <c r="D11" s="17">
        <v>0.33507284006131899</v>
      </c>
      <c r="E11" s="17">
        <v>0.32841913524585398</v>
      </c>
      <c r="F11" s="17"/>
      <c r="G11" s="17">
        <v>0.36347036403844601</v>
      </c>
      <c r="H11" s="17">
        <v>0.31292549747661103</v>
      </c>
      <c r="I11" s="17">
        <v>0.357108980867403</v>
      </c>
      <c r="J11" s="17">
        <v>0.34080232397375698</v>
      </c>
      <c r="K11" s="17">
        <v>0.33347548028220197</v>
      </c>
      <c r="L11" s="17">
        <v>0.20101847396922101</v>
      </c>
      <c r="M11" s="17"/>
      <c r="N11" s="17">
        <v>0.29531866468490198</v>
      </c>
      <c r="O11" s="17">
        <v>0.40548641371532301</v>
      </c>
      <c r="P11" s="17">
        <v>0.38101784004003703</v>
      </c>
      <c r="Q11" s="17">
        <v>0.35995947073642198</v>
      </c>
      <c r="R11" s="17">
        <v>0.29952593022067298</v>
      </c>
      <c r="S11" s="17">
        <v>0.31776793082546001</v>
      </c>
      <c r="T11" s="17">
        <v>0.32051677806011902</v>
      </c>
      <c r="U11" s="17">
        <v>0.306336938591805</v>
      </c>
      <c r="V11" s="17">
        <v>0.330812194118975</v>
      </c>
      <c r="W11" s="17"/>
      <c r="X11" s="17">
        <v>0.29148707246830802</v>
      </c>
      <c r="Y11" s="17">
        <v>0.36492904417518801</v>
      </c>
    </row>
    <row r="12" spans="2:25" ht="29" x14ac:dyDescent="0.35">
      <c r="B12" s="18" t="s">
        <v>350</v>
      </c>
      <c r="C12" s="19">
        <v>0.343391677423321</v>
      </c>
      <c r="D12" s="19">
        <v>0.35151739037132101</v>
      </c>
      <c r="E12" s="19">
        <v>0.33478209800546899</v>
      </c>
      <c r="F12" s="19"/>
      <c r="G12" s="19">
        <v>0.15265115671117599</v>
      </c>
      <c r="H12" s="19">
        <v>0.26533762905467301</v>
      </c>
      <c r="I12" s="19">
        <v>0.32156846313725701</v>
      </c>
      <c r="J12" s="19">
        <v>0.36758982646683802</v>
      </c>
      <c r="K12" s="19">
        <v>0.44672792575982201</v>
      </c>
      <c r="L12" s="19">
        <v>0.59217151237364396</v>
      </c>
      <c r="M12" s="19"/>
      <c r="N12" s="19">
        <v>0.32390614411552598</v>
      </c>
      <c r="O12" s="19">
        <v>0.31966045267903498</v>
      </c>
      <c r="P12" s="19">
        <v>0.30516694037799702</v>
      </c>
      <c r="Q12" s="19">
        <v>0.37359317503742201</v>
      </c>
      <c r="R12" s="19">
        <v>0.34555352938505302</v>
      </c>
      <c r="S12" s="19">
        <v>0.44026962975335399</v>
      </c>
      <c r="T12" s="19">
        <v>0.31326581708488999</v>
      </c>
      <c r="U12" s="19">
        <v>0.28642090037939</v>
      </c>
      <c r="V12" s="19">
        <v>0.34820919632285102</v>
      </c>
      <c r="W12" s="19"/>
      <c r="X12" s="19">
        <v>0.38836042877722898</v>
      </c>
      <c r="Y12" s="19">
        <v>0.30662486556758201</v>
      </c>
    </row>
    <row r="13" spans="2:25" x14ac:dyDescent="0.35">
      <c r="B13" s="16" t="s">
        <v>534</v>
      </c>
    </row>
    <row r="14" spans="2:25" x14ac:dyDescent="0.35">
      <c r="B14" t="s">
        <v>51</v>
      </c>
    </row>
    <row r="15" spans="2:25" x14ac:dyDescent="0.35">
      <c r="B15" t="s">
        <v>52</v>
      </c>
    </row>
    <row r="17" spans="2:2" x14ac:dyDescent="0.35">
      <c r="B17" s="8" t="str">
        <f>HYPERLINK("#'Contents'!A1", "Return to Contents")</f>
        <v>Return to Contents</v>
      </c>
    </row>
  </sheetData>
  <mergeCells count="5">
    <mergeCell ref="D5:E5"/>
    <mergeCell ref="G5:L5"/>
    <mergeCell ref="N5:V5"/>
    <mergeCell ref="X5:Y5"/>
    <mergeCell ref="D2:W2"/>
  </mergeCells>
  <pageMargins left="0.7" right="0.7" top="0.75" bottom="0.75" header="0.3" footer="0.3"/>
  <pageSetup paperSize="9" orientation="portrait" horizontalDpi="300" verticalDpi="300"/>
  <drawing r:id="rId1"/>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900-000000000000}">
  <dimension ref="B2:Y16"/>
  <sheetViews>
    <sheetView showGridLines="0" topLeftCell="A7" workbookViewId="0">
      <pane xSplit="2" topLeftCell="C1" activePane="topRight" state="frozen"/>
      <selection pane="topRight" activeCell="B12" sqref="B12"/>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s>
  <sheetData>
    <row r="2" spans="2:25" ht="40" customHeight="1" x14ac:dyDescent="0.35">
      <c r="D2" s="30" t="s">
        <v>361</v>
      </c>
      <c r="E2" s="26"/>
      <c r="F2" s="26"/>
      <c r="G2" s="26"/>
      <c r="H2" s="26"/>
      <c r="I2" s="26"/>
      <c r="J2" s="26"/>
      <c r="K2" s="26"/>
      <c r="L2" s="26"/>
      <c r="M2" s="26"/>
      <c r="N2" s="26"/>
      <c r="O2" s="26"/>
      <c r="P2" s="26"/>
      <c r="Q2" s="26"/>
      <c r="R2" s="26"/>
      <c r="S2" s="26"/>
      <c r="T2" s="26"/>
      <c r="U2" s="26"/>
      <c r="V2" s="26"/>
      <c r="W2" s="26"/>
    </row>
    <row r="5" spans="2:25" ht="30" customHeight="1" x14ac:dyDescent="0.35">
      <c r="B5" s="15"/>
      <c r="C5" s="15"/>
      <c r="D5" s="29" t="s">
        <v>38</v>
      </c>
      <c r="E5" s="29"/>
      <c r="F5" s="15"/>
      <c r="G5" s="29" t="s">
        <v>39</v>
      </c>
      <c r="H5" s="29"/>
      <c r="I5" s="29"/>
      <c r="J5" s="29"/>
      <c r="K5" s="29"/>
      <c r="L5" s="29"/>
      <c r="M5" s="15"/>
      <c r="N5" s="29" t="s">
        <v>40</v>
      </c>
      <c r="O5" s="29"/>
      <c r="P5" s="29"/>
      <c r="Q5" s="29"/>
      <c r="R5" s="29"/>
      <c r="S5" s="29"/>
      <c r="T5" s="29"/>
      <c r="U5" s="29"/>
      <c r="V5" s="29"/>
      <c r="W5" s="15"/>
      <c r="X5" s="29" t="s">
        <v>41</v>
      </c>
      <c r="Y5" s="29"/>
    </row>
    <row r="6" spans="2:25" ht="29"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row>
    <row r="7" spans="2:25" ht="30" customHeight="1" x14ac:dyDescent="0.35">
      <c r="B7" s="10" t="s">
        <v>19</v>
      </c>
      <c r="C7" s="10">
        <v>3716</v>
      </c>
      <c r="D7" s="10">
        <v>1971</v>
      </c>
      <c r="E7" s="10">
        <v>1736</v>
      </c>
      <c r="F7" s="10"/>
      <c r="G7" s="10">
        <v>251</v>
      </c>
      <c r="H7" s="10">
        <v>847</v>
      </c>
      <c r="I7" s="10">
        <v>873</v>
      </c>
      <c r="J7" s="10">
        <v>919</v>
      </c>
      <c r="K7" s="10">
        <v>652</v>
      </c>
      <c r="L7" s="10">
        <v>174</v>
      </c>
      <c r="M7" s="10"/>
      <c r="N7" s="10">
        <v>101</v>
      </c>
      <c r="O7" s="10">
        <v>101</v>
      </c>
      <c r="P7" s="10">
        <v>508</v>
      </c>
      <c r="Q7" s="10">
        <v>536</v>
      </c>
      <c r="R7" s="10">
        <v>488</v>
      </c>
      <c r="S7" s="10">
        <v>546</v>
      </c>
      <c r="T7" s="10">
        <v>648</v>
      </c>
      <c r="U7" s="10">
        <v>573</v>
      </c>
      <c r="V7" s="10">
        <v>215</v>
      </c>
      <c r="W7" s="10"/>
      <c r="X7" s="10">
        <v>1783</v>
      </c>
      <c r="Y7" s="10">
        <v>1933</v>
      </c>
    </row>
    <row r="8" spans="2:25" ht="30" customHeight="1" x14ac:dyDescent="0.35">
      <c r="B8" s="11" t="s">
        <v>20</v>
      </c>
      <c r="C8" s="11">
        <v>3642</v>
      </c>
      <c r="D8" s="11">
        <v>1990</v>
      </c>
      <c r="E8" s="11">
        <v>1643</v>
      </c>
      <c r="F8" s="11"/>
      <c r="G8" s="11">
        <v>263</v>
      </c>
      <c r="H8" s="11">
        <v>804</v>
      </c>
      <c r="I8" s="11">
        <v>885</v>
      </c>
      <c r="J8" s="11">
        <v>875</v>
      </c>
      <c r="K8" s="11">
        <v>630</v>
      </c>
      <c r="L8" s="11">
        <v>185</v>
      </c>
      <c r="M8" s="11"/>
      <c r="N8" s="11">
        <v>106</v>
      </c>
      <c r="O8" s="11">
        <v>95</v>
      </c>
      <c r="P8" s="11">
        <v>509</v>
      </c>
      <c r="Q8" s="11">
        <v>549</v>
      </c>
      <c r="R8" s="11">
        <v>458</v>
      </c>
      <c r="S8" s="11">
        <v>556</v>
      </c>
      <c r="T8" s="11">
        <v>615</v>
      </c>
      <c r="U8" s="11">
        <v>531</v>
      </c>
      <c r="V8" s="11">
        <v>224</v>
      </c>
      <c r="W8" s="11"/>
      <c r="X8" s="11">
        <v>1638</v>
      </c>
      <c r="Y8" s="11">
        <v>2004</v>
      </c>
    </row>
    <row r="9" spans="2:25" ht="29" x14ac:dyDescent="0.35">
      <c r="B9" s="18" t="s">
        <v>358</v>
      </c>
      <c r="C9" s="17">
        <v>0.74062151356468697</v>
      </c>
      <c r="D9" s="17">
        <v>0.74346044527670796</v>
      </c>
      <c r="E9" s="17">
        <v>0.73827011028696699</v>
      </c>
      <c r="F9" s="17"/>
      <c r="G9" s="17">
        <v>0.74843013052154395</v>
      </c>
      <c r="H9" s="17">
        <v>0.76586017346000201</v>
      </c>
      <c r="I9" s="17">
        <v>0.751025799787709</v>
      </c>
      <c r="J9" s="17">
        <v>0.753208376900806</v>
      </c>
      <c r="K9" s="17">
        <v>0.72034039115372706</v>
      </c>
      <c r="L9" s="17">
        <v>0.57935883328150495</v>
      </c>
      <c r="M9" s="17"/>
      <c r="N9" s="17">
        <v>0.64156233655042705</v>
      </c>
      <c r="O9" s="17">
        <v>0.63798251998428601</v>
      </c>
      <c r="P9" s="17">
        <v>0.77087204558004097</v>
      </c>
      <c r="Q9" s="17">
        <v>0.72153675337081002</v>
      </c>
      <c r="R9" s="17">
        <v>0.73952075647564297</v>
      </c>
      <c r="S9" s="17">
        <v>0.63047990247393504</v>
      </c>
      <c r="T9" s="17">
        <v>0.83192002355760597</v>
      </c>
      <c r="U9" s="17">
        <v>0.79681624713886301</v>
      </c>
      <c r="V9" s="17">
        <v>0.70073861671188598</v>
      </c>
      <c r="W9" s="17"/>
      <c r="X9" s="17">
        <v>0.65749967852385005</v>
      </c>
      <c r="Y9" s="17">
        <v>0.80858259271492205</v>
      </c>
    </row>
    <row r="10" spans="2:25" ht="58" x14ac:dyDescent="0.35">
      <c r="B10" s="18" t="s">
        <v>359</v>
      </c>
      <c r="C10" s="17">
        <v>9.9022448127322804E-2</v>
      </c>
      <c r="D10" s="17">
        <v>9.2082007368696595E-2</v>
      </c>
      <c r="E10" s="17">
        <v>0.10735956157466001</v>
      </c>
      <c r="F10" s="17"/>
      <c r="G10" s="17">
        <v>0.12761680143436099</v>
      </c>
      <c r="H10" s="17">
        <v>8.6388425623165094E-2</v>
      </c>
      <c r="I10" s="17">
        <v>0.105952822382869</v>
      </c>
      <c r="J10" s="17">
        <v>9.0282022713404506E-2</v>
      </c>
      <c r="K10" s="17">
        <v>8.9706477355573494E-2</v>
      </c>
      <c r="L10" s="17">
        <v>0.15326086788715401</v>
      </c>
      <c r="M10" s="17"/>
      <c r="N10" s="17">
        <v>0.101906525563089</v>
      </c>
      <c r="O10" s="17">
        <v>8.7236883217271799E-2</v>
      </c>
      <c r="P10" s="17">
        <v>0.10439245632143</v>
      </c>
      <c r="Q10" s="17">
        <v>0.121951411857155</v>
      </c>
      <c r="R10" s="17">
        <v>9.6800499608584098E-2</v>
      </c>
      <c r="S10" s="17">
        <v>0.109515914535658</v>
      </c>
      <c r="T10" s="17">
        <v>8.3425365930851397E-2</v>
      </c>
      <c r="U10" s="17">
        <v>8.4902295510678905E-2</v>
      </c>
      <c r="V10" s="17">
        <v>8.9026358409759407E-2</v>
      </c>
      <c r="W10" s="17"/>
      <c r="X10" s="17">
        <v>0.121434501218353</v>
      </c>
      <c r="Y10" s="17">
        <v>8.0698173725892205E-2</v>
      </c>
    </row>
    <row r="11" spans="2:25" ht="43.5" x14ac:dyDescent="0.35">
      <c r="B11" s="18" t="s">
        <v>360</v>
      </c>
      <c r="C11" s="19">
        <v>0.16035603830799</v>
      </c>
      <c r="D11" s="19">
        <v>0.164457547354596</v>
      </c>
      <c r="E11" s="19">
        <v>0.15437032813837301</v>
      </c>
      <c r="F11" s="19"/>
      <c r="G11" s="19">
        <v>0.12395306804409501</v>
      </c>
      <c r="H11" s="19">
        <v>0.147751400916833</v>
      </c>
      <c r="I11" s="19">
        <v>0.14302137782942201</v>
      </c>
      <c r="J11" s="19">
        <v>0.15650960038579001</v>
      </c>
      <c r="K11" s="19">
        <v>0.18995313149069901</v>
      </c>
      <c r="L11" s="19">
        <v>0.26738029883134101</v>
      </c>
      <c r="M11" s="19"/>
      <c r="N11" s="19">
        <v>0.25653113788648402</v>
      </c>
      <c r="O11" s="19">
        <v>0.27478059679844202</v>
      </c>
      <c r="P11" s="19">
        <v>0.124735498098529</v>
      </c>
      <c r="Q11" s="19">
        <v>0.15651183477203401</v>
      </c>
      <c r="R11" s="19">
        <v>0.163678743915773</v>
      </c>
      <c r="S11" s="19">
        <v>0.26000418299040701</v>
      </c>
      <c r="T11" s="19">
        <v>8.4654610511543105E-2</v>
      </c>
      <c r="U11" s="19">
        <v>0.118281457350458</v>
      </c>
      <c r="V11" s="19">
        <v>0.21023502487835499</v>
      </c>
      <c r="W11" s="19"/>
      <c r="X11" s="19">
        <v>0.221065820257798</v>
      </c>
      <c r="Y11" s="19">
        <v>0.110719233559186</v>
      </c>
    </row>
    <row r="12" spans="2:25" x14ac:dyDescent="0.35">
      <c r="B12" s="16" t="s">
        <v>534</v>
      </c>
    </row>
    <row r="13" spans="2:25" x14ac:dyDescent="0.35">
      <c r="B13" t="s">
        <v>51</v>
      </c>
    </row>
    <row r="14" spans="2:25" x14ac:dyDescent="0.35">
      <c r="B14" t="s">
        <v>52</v>
      </c>
    </row>
    <row r="16" spans="2:25" x14ac:dyDescent="0.35">
      <c r="B16" s="8" t="str">
        <f>HYPERLINK("#'Contents'!A1", "Return to Contents")</f>
        <v>Return to Contents</v>
      </c>
    </row>
  </sheetData>
  <mergeCells count="5">
    <mergeCell ref="D5:E5"/>
    <mergeCell ref="G5:L5"/>
    <mergeCell ref="N5:V5"/>
    <mergeCell ref="X5:Y5"/>
    <mergeCell ref="D2:W2"/>
  </mergeCells>
  <pageMargins left="0.7" right="0.7" top="0.75" bottom="0.75" header="0.3" footer="0.3"/>
  <pageSetup paperSize="9" orientation="portrait" horizontalDpi="300" verticalDpi="300"/>
  <drawing r:id="rId1"/>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A00-000000000000}">
  <dimension ref="B2:Y16"/>
  <sheetViews>
    <sheetView showGridLines="0" topLeftCell="A7" workbookViewId="0">
      <pane xSplit="2" topLeftCell="C1" activePane="topRight" state="frozen"/>
      <selection pane="topRight" activeCell="B12" sqref="B12"/>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s>
  <sheetData>
    <row r="2" spans="2:25" ht="40" customHeight="1" x14ac:dyDescent="0.35">
      <c r="D2" s="30" t="s">
        <v>364</v>
      </c>
      <c r="E2" s="26"/>
      <c r="F2" s="26"/>
      <c r="G2" s="26"/>
      <c r="H2" s="26"/>
      <c r="I2" s="26"/>
      <c r="J2" s="26"/>
      <c r="K2" s="26"/>
      <c r="L2" s="26"/>
      <c r="M2" s="26"/>
      <c r="N2" s="26"/>
      <c r="O2" s="26"/>
      <c r="P2" s="26"/>
      <c r="Q2" s="26"/>
      <c r="R2" s="26"/>
      <c r="S2" s="26"/>
      <c r="T2" s="26"/>
      <c r="U2" s="26"/>
      <c r="V2" s="26"/>
      <c r="W2" s="26"/>
    </row>
    <row r="5" spans="2:25" ht="30" customHeight="1" x14ac:dyDescent="0.35">
      <c r="B5" s="15"/>
      <c r="C5" s="15"/>
      <c r="D5" s="29" t="s">
        <v>38</v>
      </c>
      <c r="E5" s="29"/>
      <c r="F5" s="15"/>
      <c r="G5" s="29" t="s">
        <v>39</v>
      </c>
      <c r="H5" s="29"/>
      <c r="I5" s="29"/>
      <c r="J5" s="29"/>
      <c r="K5" s="29"/>
      <c r="L5" s="29"/>
      <c r="M5" s="15"/>
      <c r="N5" s="29" t="s">
        <v>40</v>
      </c>
      <c r="O5" s="29"/>
      <c r="P5" s="29"/>
      <c r="Q5" s="29"/>
      <c r="R5" s="29"/>
      <c r="S5" s="29"/>
      <c r="T5" s="29"/>
      <c r="U5" s="29"/>
      <c r="V5" s="29"/>
      <c r="W5" s="15"/>
      <c r="X5" s="29" t="s">
        <v>41</v>
      </c>
      <c r="Y5" s="29"/>
    </row>
    <row r="6" spans="2:25" ht="29"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row>
    <row r="7" spans="2:25" ht="30" customHeight="1" x14ac:dyDescent="0.35">
      <c r="B7" s="10" t="s">
        <v>19</v>
      </c>
      <c r="C7" s="10">
        <v>974</v>
      </c>
      <c r="D7" s="10">
        <v>510</v>
      </c>
      <c r="E7" s="10">
        <v>460</v>
      </c>
      <c r="F7" s="10"/>
      <c r="G7" s="10">
        <v>62</v>
      </c>
      <c r="H7" s="10">
        <v>198</v>
      </c>
      <c r="I7" s="10">
        <v>221</v>
      </c>
      <c r="J7" s="10">
        <v>231</v>
      </c>
      <c r="K7" s="10">
        <v>187</v>
      </c>
      <c r="L7" s="10">
        <v>75</v>
      </c>
      <c r="M7" s="10"/>
      <c r="N7" s="10">
        <v>37</v>
      </c>
      <c r="O7" s="10">
        <v>34</v>
      </c>
      <c r="P7" s="10">
        <v>121</v>
      </c>
      <c r="Q7" s="10">
        <v>146</v>
      </c>
      <c r="R7" s="10">
        <v>134</v>
      </c>
      <c r="S7" s="10">
        <v>205</v>
      </c>
      <c r="T7" s="10">
        <v>110</v>
      </c>
      <c r="U7" s="10">
        <v>123</v>
      </c>
      <c r="V7" s="10">
        <v>64</v>
      </c>
      <c r="W7" s="10"/>
      <c r="X7" s="10">
        <v>606</v>
      </c>
      <c r="Y7" s="10">
        <v>368</v>
      </c>
    </row>
    <row r="8" spans="2:25" ht="30" customHeight="1" x14ac:dyDescent="0.35">
      <c r="B8" s="11" t="s">
        <v>20</v>
      </c>
      <c r="C8" s="11">
        <v>947</v>
      </c>
      <c r="D8" s="11">
        <v>513</v>
      </c>
      <c r="E8" s="11">
        <v>431</v>
      </c>
      <c r="F8" s="11"/>
      <c r="G8" s="11">
        <v>67</v>
      </c>
      <c r="H8" s="11">
        <v>188</v>
      </c>
      <c r="I8" s="11">
        <v>220</v>
      </c>
      <c r="J8" s="11">
        <v>217</v>
      </c>
      <c r="K8" s="11">
        <v>176</v>
      </c>
      <c r="L8" s="11">
        <v>78</v>
      </c>
      <c r="M8" s="11"/>
      <c r="N8" s="11">
        <v>39</v>
      </c>
      <c r="O8" s="11">
        <v>34</v>
      </c>
      <c r="P8" s="11">
        <v>117</v>
      </c>
      <c r="Q8" s="11">
        <v>153</v>
      </c>
      <c r="R8" s="11">
        <v>119</v>
      </c>
      <c r="S8" s="11">
        <v>205</v>
      </c>
      <c r="T8" s="11">
        <v>105</v>
      </c>
      <c r="U8" s="11">
        <v>108</v>
      </c>
      <c r="V8" s="11">
        <v>67</v>
      </c>
      <c r="W8" s="11"/>
      <c r="X8" s="11">
        <v>562</v>
      </c>
      <c r="Y8" s="11">
        <v>386</v>
      </c>
    </row>
    <row r="9" spans="2:25" ht="43.5" x14ac:dyDescent="0.35">
      <c r="B9" s="18" t="s">
        <v>362</v>
      </c>
      <c r="C9" s="17">
        <v>0.63760806103983203</v>
      </c>
      <c r="D9" s="17">
        <v>0.64792871983959499</v>
      </c>
      <c r="E9" s="17">
        <v>0.62680759431363597</v>
      </c>
      <c r="F9" s="17"/>
      <c r="G9" s="17">
        <v>0.48124554362498601</v>
      </c>
      <c r="H9" s="17">
        <v>0.67814413772215199</v>
      </c>
      <c r="I9" s="17">
        <v>0.61797725479688503</v>
      </c>
      <c r="J9" s="17">
        <v>0.62803882968163205</v>
      </c>
      <c r="K9" s="17">
        <v>0.65706561381471495</v>
      </c>
      <c r="L9" s="17">
        <v>0.71255980038046596</v>
      </c>
      <c r="M9" s="17"/>
      <c r="N9" s="17">
        <v>0.77225272810651602</v>
      </c>
      <c r="O9" s="17">
        <v>0.62655843862491301</v>
      </c>
      <c r="P9" s="17">
        <v>0.68676520509686301</v>
      </c>
      <c r="Q9" s="17">
        <v>0.59829765632808496</v>
      </c>
      <c r="R9" s="17">
        <v>0.40458399716618598</v>
      </c>
      <c r="S9" s="17">
        <v>0.64205976746070403</v>
      </c>
      <c r="T9" s="17">
        <v>0.64870517765781199</v>
      </c>
      <c r="U9" s="17">
        <v>0.78329827782979899</v>
      </c>
      <c r="V9" s="17">
        <v>0.71893379943621005</v>
      </c>
      <c r="W9" s="17"/>
      <c r="X9" s="17">
        <v>0.68601079822594002</v>
      </c>
      <c r="Y9" s="17">
        <v>0.56710152334744102</v>
      </c>
    </row>
    <row r="10" spans="2:25" ht="29" x14ac:dyDescent="0.35">
      <c r="B10" s="18" t="s">
        <v>363</v>
      </c>
      <c r="C10" s="17">
        <v>0.222304641186747</v>
      </c>
      <c r="D10" s="17">
        <v>0.216648048824536</v>
      </c>
      <c r="E10" s="17">
        <v>0.228370861136619</v>
      </c>
      <c r="F10" s="17"/>
      <c r="G10" s="17">
        <v>0.41736080812293802</v>
      </c>
      <c r="H10" s="17">
        <v>0.20685105339943899</v>
      </c>
      <c r="I10" s="17">
        <v>0.24349562144228401</v>
      </c>
      <c r="J10" s="17">
        <v>0.18087745378550499</v>
      </c>
      <c r="K10" s="17">
        <v>0.212985427753725</v>
      </c>
      <c r="L10" s="17">
        <v>0.167868861082622</v>
      </c>
      <c r="M10" s="17"/>
      <c r="N10" s="17">
        <v>0.180413184836344</v>
      </c>
      <c r="O10" s="17">
        <v>0.31957402610358898</v>
      </c>
      <c r="P10" s="17">
        <v>0.21017394604108899</v>
      </c>
      <c r="Q10" s="17">
        <v>0.27796135775823699</v>
      </c>
      <c r="R10" s="17">
        <v>0.32562005603979199</v>
      </c>
      <c r="S10" s="17">
        <v>0.21975342073399401</v>
      </c>
      <c r="T10" s="17">
        <v>0.179529185894927</v>
      </c>
      <c r="U10" s="17">
        <v>0.12022942812937</v>
      </c>
      <c r="V10" s="17">
        <v>0.14625043316267</v>
      </c>
      <c r="W10" s="17"/>
      <c r="X10" s="17">
        <v>0.20118073768254399</v>
      </c>
      <c r="Y10" s="17">
        <v>0.25307507660453998</v>
      </c>
    </row>
    <row r="11" spans="2:25" x14ac:dyDescent="0.35">
      <c r="B11" s="18" t="s">
        <v>69</v>
      </c>
      <c r="C11" s="19">
        <v>0.14008729777342099</v>
      </c>
      <c r="D11" s="19">
        <v>0.135423231335869</v>
      </c>
      <c r="E11" s="19">
        <v>0.144821544549745</v>
      </c>
      <c r="F11" s="19"/>
      <c r="G11" s="19">
        <v>0.101393648252076</v>
      </c>
      <c r="H11" s="19">
        <v>0.11500480887841</v>
      </c>
      <c r="I11" s="19">
        <v>0.13852712376083201</v>
      </c>
      <c r="J11" s="19">
        <v>0.19108371653286299</v>
      </c>
      <c r="K11" s="19">
        <v>0.12994895843155899</v>
      </c>
      <c r="L11" s="19">
        <v>0.119571338536912</v>
      </c>
      <c r="M11" s="19"/>
      <c r="N11" s="19">
        <v>4.73340870571397E-2</v>
      </c>
      <c r="O11" s="19">
        <v>5.3867535271497999E-2</v>
      </c>
      <c r="P11" s="19">
        <v>0.103060848862047</v>
      </c>
      <c r="Q11" s="19">
        <v>0.12374098591367801</v>
      </c>
      <c r="R11" s="19">
        <v>0.26979594679402202</v>
      </c>
      <c r="S11" s="19">
        <v>0.13818681180530201</v>
      </c>
      <c r="T11" s="19">
        <v>0.17176563644726101</v>
      </c>
      <c r="U11" s="19">
        <v>9.64722940408312E-2</v>
      </c>
      <c r="V11" s="19">
        <v>0.13481576740112</v>
      </c>
      <c r="W11" s="19"/>
      <c r="X11" s="19">
        <v>0.112808464091516</v>
      </c>
      <c r="Y11" s="19">
        <v>0.179823400048019</v>
      </c>
    </row>
    <row r="12" spans="2:25" x14ac:dyDescent="0.35">
      <c r="B12" s="16" t="s">
        <v>536</v>
      </c>
    </row>
    <row r="13" spans="2:25" x14ac:dyDescent="0.35">
      <c r="B13" t="s">
        <v>51</v>
      </c>
    </row>
    <row r="14" spans="2:25" x14ac:dyDescent="0.35">
      <c r="B14" t="s">
        <v>52</v>
      </c>
    </row>
    <row r="16" spans="2:25" x14ac:dyDescent="0.35">
      <c r="B16" s="8" t="str">
        <f>HYPERLINK("#'Contents'!A1", "Return to Contents")</f>
        <v>Return to Contents</v>
      </c>
    </row>
  </sheetData>
  <mergeCells count="5">
    <mergeCell ref="D5:E5"/>
    <mergeCell ref="G5:L5"/>
    <mergeCell ref="N5:V5"/>
    <mergeCell ref="X5:Y5"/>
    <mergeCell ref="D2:W2"/>
  </mergeCells>
  <pageMargins left="0.7" right="0.7" top="0.75" bottom="0.75" header="0.3" footer="0.3"/>
  <pageSetup paperSize="9" orientation="portrait" horizontalDpi="300" verticalDpi="300"/>
  <drawing r:id="rId1"/>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B00-000000000000}">
  <dimension ref="B2:Y17"/>
  <sheetViews>
    <sheetView showGridLines="0" topLeftCell="A7" workbookViewId="0">
      <pane xSplit="2" topLeftCell="C1" activePane="topRight" state="frozen"/>
      <selection pane="topRight" activeCell="B13" sqref="B13"/>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s>
  <sheetData>
    <row r="2" spans="2:25" ht="40" customHeight="1" x14ac:dyDescent="0.35">
      <c r="D2" s="30" t="s">
        <v>368</v>
      </c>
      <c r="E2" s="26"/>
      <c r="F2" s="26"/>
      <c r="G2" s="26"/>
      <c r="H2" s="26"/>
      <c r="I2" s="26"/>
      <c r="J2" s="26"/>
      <c r="K2" s="26"/>
      <c r="L2" s="26"/>
      <c r="M2" s="26"/>
      <c r="N2" s="26"/>
      <c r="O2" s="26"/>
      <c r="P2" s="26"/>
      <c r="Q2" s="26"/>
      <c r="R2" s="26"/>
      <c r="S2" s="26"/>
      <c r="T2" s="26"/>
      <c r="U2" s="26"/>
      <c r="V2" s="26"/>
      <c r="W2" s="26"/>
    </row>
    <row r="5" spans="2:25" ht="30" customHeight="1" x14ac:dyDescent="0.35">
      <c r="B5" s="15"/>
      <c r="C5" s="15"/>
      <c r="D5" s="29" t="s">
        <v>38</v>
      </c>
      <c r="E5" s="29"/>
      <c r="F5" s="15"/>
      <c r="G5" s="29" t="s">
        <v>39</v>
      </c>
      <c r="H5" s="29"/>
      <c r="I5" s="29"/>
      <c r="J5" s="29"/>
      <c r="K5" s="29"/>
      <c r="L5" s="29"/>
      <c r="M5" s="15"/>
      <c r="N5" s="29" t="s">
        <v>40</v>
      </c>
      <c r="O5" s="29"/>
      <c r="P5" s="29"/>
      <c r="Q5" s="29"/>
      <c r="R5" s="29"/>
      <c r="S5" s="29"/>
      <c r="T5" s="29"/>
      <c r="U5" s="29"/>
      <c r="V5" s="29"/>
      <c r="W5" s="15"/>
      <c r="X5" s="29" t="s">
        <v>41</v>
      </c>
      <c r="Y5" s="29"/>
    </row>
    <row r="6" spans="2:25" ht="29"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row>
    <row r="7" spans="2:25" ht="30" customHeight="1" x14ac:dyDescent="0.35">
      <c r="B7" s="10" t="s">
        <v>19</v>
      </c>
      <c r="C7" s="10">
        <v>603</v>
      </c>
      <c r="D7" s="10">
        <v>326</v>
      </c>
      <c r="E7" s="10">
        <v>274</v>
      </c>
      <c r="F7" s="10"/>
      <c r="G7" s="10">
        <v>31</v>
      </c>
      <c r="H7" s="10">
        <v>126</v>
      </c>
      <c r="I7" s="10">
        <v>127</v>
      </c>
      <c r="J7" s="10">
        <v>145</v>
      </c>
      <c r="K7" s="10">
        <v>126</v>
      </c>
      <c r="L7" s="10">
        <v>48</v>
      </c>
      <c r="M7" s="10"/>
      <c r="N7" s="10">
        <v>27</v>
      </c>
      <c r="O7" s="10">
        <v>25</v>
      </c>
      <c r="P7" s="10">
        <v>68</v>
      </c>
      <c r="Q7" s="10">
        <v>80</v>
      </c>
      <c r="R7" s="10">
        <v>85</v>
      </c>
      <c r="S7" s="10">
        <v>145</v>
      </c>
      <c r="T7" s="10">
        <v>54</v>
      </c>
      <c r="U7" s="10">
        <v>75</v>
      </c>
      <c r="V7" s="10">
        <v>44</v>
      </c>
      <c r="W7" s="10"/>
      <c r="X7" s="10">
        <v>393</v>
      </c>
      <c r="Y7" s="10">
        <v>210</v>
      </c>
    </row>
    <row r="8" spans="2:25" ht="30" customHeight="1" x14ac:dyDescent="0.35">
      <c r="B8" s="11" t="s">
        <v>20</v>
      </c>
      <c r="C8" s="11">
        <v>584</v>
      </c>
      <c r="D8" s="11">
        <v>327</v>
      </c>
      <c r="E8" s="11">
        <v>254</v>
      </c>
      <c r="F8" s="11"/>
      <c r="G8" s="11">
        <v>33</v>
      </c>
      <c r="H8" s="11">
        <v>119</v>
      </c>
      <c r="I8" s="11">
        <v>127</v>
      </c>
      <c r="J8" s="11">
        <v>137</v>
      </c>
      <c r="K8" s="11">
        <v>120</v>
      </c>
      <c r="L8" s="11">
        <v>49</v>
      </c>
      <c r="M8" s="11"/>
      <c r="N8" s="11">
        <v>27</v>
      </c>
      <c r="O8" s="11">
        <v>26</v>
      </c>
      <c r="P8" s="11">
        <v>63</v>
      </c>
      <c r="Q8" s="11">
        <v>86</v>
      </c>
      <c r="R8" s="11">
        <v>75</v>
      </c>
      <c r="S8" s="11">
        <v>145</v>
      </c>
      <c r="T8" s="11">
        <v>52</v>
      </c>
      <c r="U8" s="11">
        <v>63</v>
      </c>
      <c r="V8" s="11">
        <v>47</v>
      </c>
      <c r="W8" s="11"/>
      <c r="X8" s="11">
        <v>362</v>
      </c>
      <c r="Y8" s="11">
        <v>222</v>
      </c>
    </row>
    <row r="9" spans="2:25" ht="43.5" x14ac:dyDescent="0.35">
      <c r="B9" s="18" t="s">
        <v>365</v>
      </c>
      <c r="C9" s="17">
        <v>5.8796893416797003E-2</v>
      </c>
      <c r="D9" s="17">
        <v>5.4396969797543597E-2</v>
      </c>
      <c r="E9" s="17">
        <v>6.5190024133286104E-2</v>
      </c>
      <c r="F9" s="17"/>
      <c r="G9" s="17">
        <v>4.6191222330969998E-2</v>
      </c>
      <c r="H9" s="17">
        <v>7.1612840400535296E-2</v>
      </c>
      <c r="I9" s="17">
        <v>4.25070884140673E-2</v>
      </c>
      <c r="J9" s="17">
        <v>4.2493579180971901E-2</v>
      </c>
      <c r="K9" s="17">
        <v>9.2240715900699294E-2</v>
      </c>
      <c r="L9" s="17">
        <v>4.2222214693214501E-2</v>
      </c>
      <c r="M9" s="17"/>
      <c r="N9" s="17">
        <v>0</v>
      </c>
      <c r="O9" s="17">
        <v>3.0673526471266501E-2</v>
      </c>
      <c r="P9" s="17">
        <v>6.7825002426637193E-2</v>
      </c>
      <c r="Q9" s="17">
        <v>8.1728402242223094E-2</v>
      </c>
      <c r="R9" s="17">
        <v>5.68845847085429E-2</v>
      </c>
      <c r="S9" s="17">
        <v>5.8933317852600101E-2</v>
      </c>
      <c r="T9" s="17">
        <v>0.122725151029155</v>
      </c>
      <c r="U9" s="17">
        <v>3.4674291725093197E-2</v>
      </c>
      <c r="V9" s="17">
        <v>1.8353364071586799E-2</v>
      </c>
      <c r="W9" s="17"/>
      <c r="X9" s="17">
        <v>4.7915232237848999E-2</v>
      </c>
      <c r="Y9" s="17">
        <v>7.6560816026979298E-2</v>
      </c>
    </row>
    <row r="10" spans="2:25" ht="43.5" x14ac:dyDescent="0.35">
      <c r="B10" s="18" t="s">
        <v>366</v>
      </c>
      <c r="C10" s="17">
        <v>0.12243494785447601</v>
      </c>
      <c r="D10" s="17">
        <v>0.108111068750158</v>
      </c>
      <c r="E10" s="17">
        <v>0.13858577491431101</v>
      </c>
      <c r="F10" s="17"/>
      <c r="G10" s="17">
        <v>0.31535650171770702</v>
      </c>
      <c r="H10" s="17">
        <v>0.13587000226075699</v>
      </c>
      <c r="I10" s="17">
        <v>0.12584089230947401</v>
      </c>
      <c r="J10" s="17">
        <v>9.0333407261182094E-2</v>
      </c>
      <c r="K10" s="17">
        <v>0.10851917519055999</v>
      </c>
      <c r="L10" s="17">
        <v>7.6750253698066803E-2</v>
      </c>
      <c r="M10" s="17"/>
      <c r="N10" s="17">
        <v>0.103075376167794</v>
      </c>
      <c r="O10" s="17">
        <v>0.12447517451061001</v>
      </c>
      <c r="P10" s="17">
        <v>0.13650560735052</v>
      </c>
      <c r="Q10" s="17">
        <v>0.132941051401542</v>
      </c>
      <c r="R10" s="17">
        <v>7.7171094977194696E-2</v>
      </c>
      <c r="S10" s="17">
        <v>0.111651213545972</v>
      </c>
      <c r="T10" s="17">
        <v>0.25496383665872002</v>
      </c>
      <c r="U10" s="17">
        <v>9.8664625539862993E-2</v>
      </c>
      <c r="V10" s="17">
        <v>8.4775701623935704E-2</v>
      </c>
      <c r="W10" s="17"/>
      <c r="X10" s="17">
        <v>0.123151039660467</v>
      </c>
      <c r="Y10" s="17">
        <v>0.121265953597604</v>
      </c>
    </row>
    <row r="11" spans="2:25" ht="29" x14ac:dyDescent="0.35">
      <c r="B11" s="18" t="s">
        <v>367</v>
      </c>
      <c r="C11" s="17">
        <v>0.76677156837099003</v>
      </c>
      <c r="D11" s="17">
        <v>0.78416179875410197</v>
      </c>
      <c r="E11" s="17">
        <v>0.74531763602772905</v>
      </c>
      <c r="F11" s="17"/>
      <c r="G11" s="17">
        <v>0.61580692392385294</v>
      </c>
      <c r="H11" s="17">
        <v>0.75386170138452802</v>
      </c>
      <c r="I11" s="17">
        <v>0.75903216267120099</v>
      </c>
      <c r="J11" s="17">
        <v>0.80924309575336495</v>
      </c>
      <c r="K11" s="17">
        <v>0.746852816961734</v>
      </c>
      <c r="L11" s="17">
        <v>0.84781736265782004</v>
      </c>
      <c r="M11" s="17"/>
      <c r="N11" s="17">
        <v>0.89692462383220595</v>
      </c>
      <c r="O11" s="17">
        <v>0.78752313114857397</v>
      </c>
      <c r="P11" s="17">
        <v>0.71129776430768399</v>
      </c>
      <c r="Q11" s="17">
        <v>0.72499542542107698</v>
      </c>
      <c r="R11" s="17">
        <v>0.78427524486487799</v>
      </c>
      <c r="S11" s="17">
        <v>0.80142237125168503</v>
      </c>
      <c r="T11" s="17">
        <v>0.51072176580454498</v>
      </c>
      <c r="U11" s="17">
        <v>0.82911595682112305</v>
      </c>
      <c r="V11" s="17">
        <v>0.89687093430447795</v>
      </c>
      <c r="W11" s="17"/>
      <c r="X11" s="17">
        <v>0.79740755342132597</v>
      </c>
      <c r="Y11" s="17">
        <v>0.71675941870272697</v>
      </c>
    </row>
    <row r="12" spans="2:25" x14ac:dyDescent="0.35">
      <c r="B12" s="18" t="s">
        <v>224</v>
      </c>
      <c r="C12" s="19">
        <v>5.1996590357737703E-2</v>
      </c>
      <c r="D12" s="19">
        <v>5.3330162698196598E-2</v>
      </c>
      <c r="E12" s="19">
        <v>5.0906564924673298E-2</v>
      </c>
      <c r="F12" s="19"/>
      <c r="G12" s="19">
        <v>2.26453520274702E-2</v>
      </c>
      <c r="H12" s="19">
        <v>3.8655455954180303E-2</v>
      </c>
      <c r="I12" s="19">
        <v>7.2619856605257202E-2</v>
      </c>
      <c r="J12" s="19">
        <v>5.7929917804481097E-2</v>
      </c>
      <c r="K12" s="19">
        <v>5.2387291947006601E-2</v>
      </c>
      <c r="L12" s="19">
        <v>3.3210168950898601E-2</v>
      </c>
      <c r="M12" s="19"/>
      <c r="N12" s="19">
        <v>0</v>
      </c>
      <c r="O12" s="19">
        <v>5.7328167869550001E-2</v>
      </c>
      <c r="P12" s="19">
        <v>8.4371625915158593E-2</v>
      </c>
      <c r="Q12" s="19">
        <v>6.0335120935157797E-2</v>
      </c>
      <c r="R12" s="19">
        <v>8.1669075449384204E-2</v>
      </c>
      <c r="S12" s="19">
        <v>2.79930973497436E-2</v>
      </c>
      <c r="T12" s="19">
        <v>0.11158924650757999</v>
      </c>
      <c r="U12" s="19">
        <v>3.7545125913920903E-2</v>
      </c>
      <c r="V12" s="19">
        <v>0</v>
      </c>
      <c r="W12" s="19"/>
      <c r="X12" s="19">
        <v>3.1526174680358801E-2</v>
      </c>
      <c r="Y12" s="19">
        <v>8.5413811672689299E-2</v>
      </c>
    </row>
    <row r="13" spans="2:25" x14ac:dyDescent="0.35">
      <c r="B13" s="16" t="s">
        <v>537</v>
      </c>
    </row>
    <row r="14" spans="2:25" x14ac:dyDescent="0.35">
      <c r="B14" t="s">
        <v>51</v>
      </c>
    </row>
    <row r="15" spans="2:25" x14ac:dyDescent="0.35">
      <c r="B15" t="s">
        <v>52</v>
      </c>
    </row>
    <row r="17" spans="2:2" x14ac:dyDescent="0.35">
      <c r="B17" s="8" t="str">
        <f>HYPERLINK("#'Contents'!A1", "Return to Contents")</f>
        <v>Return to Contents</v>
      </c>
    </row>
  </sheetData>
  <mergeCells count="5">
    <mergeCell ref="D5:E5"/>
    <mergeCell ref="G5:L5"/>
    <mergeCell ref="N5:V5"/>
    <mergeCell ref="X5:Y5"/>
    <mergeCell ref="D2:W2"/>
  </mergeCells>
  <pageMargins left="0.7" right="0.7" top="0.75" bottom="0.75" header="0.3" footer="0.3"/>
  <pageSetup paperSize="9" orientation="portrait" horizontalDpi="300" verticalDpi="300"/>
  <drawing r:id="rId1"/>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C00-000000000000}">
  <dimension ref="B2:Y23"/>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s>
  <sheetData>
    <row r="2" spans="2:25" ht="40" customHeight="1" x14ac:dyDescent="0.35">
      <c r="D2" s="30" t="s">
        <v>377</v>
      </c>
      <c r="E2" s="26"/>
      <c r="F2" s="26"/>
      <c r="G2" s="26"/>
      <c r="H2" s="26"/>
      <c r="I2" s="26"/>
      <c r="J2" s="26"/>
      <c r="K2" s="26"/>
      <c r="L2" s="26"/>
      <c r="M2" s="26"/>
      <c r="N2" s="26"/>
      <c r="O2" s="26"/>
      <c r="P2" s="26"/>
      <c r="Q2" s="26"/>
      <c r="R2" s="26"/>
      <c r="S2" s="26"/>
      <c r="T2" s="26"/>
      <c r="U2" s="26"/>
      <c r="V2" s="26"/>
      <c r="W2" s="26"/>
    </row>
    <row r="5" spans="2:25" ht="30" customHeight="1" x14ac:dyDescent="0.35">
      <c r="B5" s="15"/>
      <c r="C5" s="15"/>
      <c r="D5" s="29" t="s">
        <v>38</v>
      </c>
      <c r="E5" s="29"/>
      <c r="F5" s="15"/>
      <c r="G5" s="29" t="s">
        <v>39</v>
      </c>
      <c r="H5" s="29"/>
      <c r="I5" s="29"/>
      <c r="J5" s="29"/>
      <c r="K5" s="29"/>
      <c r="L5" s="29"/>
      <c r="M5" s="15"/>
      <c r="N5" s="29" t="s">
        <v>40</v>
      </c>
      <c r="O5" s="29"/>
      <c r="P5" s="29"/>
      <c r="Q5" s="29"/>
      <c r="R5" s="29"/>
      <c r="S5" s="29"/>
      <c r="T5" s="29"/>
      <c r="U5" s="29"/>
      <c r="V5" s="29"/>
      <c r="W5" s="15"/>
      <c r="X5" s="29" t="s">
        <v>41</v>
      </c>
      <c r="Y5" s="29"/>
    </row>
    <row r="6" spans="2:25" ht="29"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row>
    <row r="7" spans="2:25" ht="30" customHeight="1" x14ac:dyDescent="0.35">
      <c r="B7" s="10" t="s">
        <v>19</v>
      </c>
      <c r="C7" s="10">
        <v>6838</v>
      </c>
      <c r="D7" s="10">
        <v>3283</v>
      </c>
      <c r="E7" s="10">
        <v>3541</v>
      </c>
      <c r="F7" s="10"/>
      <c r="G7" s="10">
        <v>635</v>
      </c>
      <c r="H7" s="10">
        <v>1075</v>
      </c>
      <c r="I7" s="10">
        <v>1093</v>
      </c>
      <c r="J7" s="10">
        <v>1228</v>
      </c>
      <c r="K7" s="10">
        <v>1156</v>
      </c>
      <c r="L7" s="10">
        <v>1651</v>
      </c>
      <c r="M7" s="10"/>
      <c r="N7" s="10">
        <v>208</v>
      </c>
      <c r="O7" s="10">
        <v>200</v>
      </c>
      <c r="P7" s="10">
        <v>1002</v>
      </c>
      <c r="Q7" s="10">
        <v>1000</v>
      </c>
      <c r="R7" s="10">
        <v>1004</v>
      </c>
      <c r="S7" s="10">
        <v>1006</v>
      </c>
      <c r="T7" s="10">
        <v>1006</v>
      </c>
      <c r="U7" s="10">
        <v>1007</v>
      </c>
      <c r="V7" s="10">
        <v>405</v>
      </c>
      <c r="W7" s="10"/>
      <c r="X7" s="10">
        <v>2650</v>
      </c>
      <c r="Y7" s="10">
        <v>4188</v>
      </c>
    </row>
    <row r="8" spans="2:25" ht="30" customHeight="1" x14ac:dyDescent="0.35">
      <c r="B8" s="11" t="s">
        <v>20</v>
      </c>
      <c r="C8" s="11">
        <v>6838</v>
      </c>
      <c r="D8" s="11">
        <v>3309</v>
      </c>
      <c r="E8" s="11">
        <v>3515</v>
      </c>
      <c r="F8" s="11"/>
      <c r="G8" s="11">
        <v>645</v>
      </c>
      <c r="H8" s="11">
        <v>1026</v>
      </c>
      <c r="I8" s="11">
        <v>1111</v>
      </c>
      <c r="J8" s="11">
        <v>1184</v>
      </c>
      <c r="K8" s="11">
        <v>1140</v>
      </c>
      <c r="L8" s="11">
        <v>1732</v>
      </c>
      <c r="M8" s="11"/>
      <c r="N8" s="11">
        <v>208</v>
      </c>
      <c r="O8" s="11">
        <v>200</v>
      </c>
      <c r="P8" s="11">
        <v>1002</v>
      </c>
      <c r="Q8" s="11">
        <v>1000</v>
      </c>
      <c r="R8" s="11">
        <v>1004</v>
      </c>
      <c r="S8" s="11">
        <v>1006</v>
      </c>
      <c r="T8" s="11">
        <v>1006</v>
      </c>
      <c r="U8" s="11">
        <v>1007</v>
      </c>
      <c r="V8" s="11">
        <v>405</v>
      </c>
      <c r="W8" s="11"/>
      <c r="X8" s="11">
        <v>2436</v>
      </c>
      <c r="Y8" s="11">
        <v>4402</v>
      </c>
    </row>
    <row r="9" spans="2:25" x14ac:dyDescent="0.35">
      <c r="B9" s="18" t="s">
        <v>147</v>
      </c>
      <c r="C9" s="17">
        <v>0.54042994742579198</v>
      </c>
      <c r="D9" s="17">
        <v>0.51473797249347297</v>
      </c>
      <c r="E9" s="17">
        <v>0.56512212384718696</v>
      </c>
      <c r="F9" s="17"/>
      <c r="G9" s="17">
        <v>0.519542859426113</v>
      </c>
      <c r="H9" s="17">
        <v>0.54062823526444703</v>
      </c>
      <c r="I9" s="17">
        <v>0.54629245855227204</v>
      </c>
      <c r="J9" s="17">
        <v>0.53221552665543304</v>
      </c>
      <c r="K9" s="17">
        <v>0.56250170035398295</v>
      </c>
      <c r="L9" s="17">
        <v>0.53541036164489098</v>
      </c>
      <c r="M9" s="17"/>
      <c r="N9" s="17">
        <v>0.58776629689330495</v>
      </c>
      <c r="O9" s="17">
        <v>0.67772517892755701</v>
      </c>
      <c r="P9" s="17">
        <v>0.63017888433621305</v>
      </c>
      <c r="Q9" s="17">
        <v>0.38906475088152498</v>
      </c>
      <c r="R9" s="17">
        <v>0.465496324969704</v>
      </c>
      <c r="S9" s="17">
        <v>0.41056858243311201</v>
      </c>
      <c r="T9" s="17">
        <v>0.55448701053227401</v>
      </c>
      <c r="U9" s="17">
        <v>0.70110567486860398</v>
      </c>
      <c r="V9" s="17">
        <v>0.67392076687997604</v>
      </c>
      <c r="W9" s="17"/>
      <c r="X9" s="17">
        <v>0.59788335299054096</v>
      </c>
      <c r="Y9" s="17">
        <v>0.508637155987268</v>
      </c>
    </row>
    <row r="10" spans="2:25" x14ac:dyDescent="0.35">
      <c r="B10" s="18" t="s">
        <v>369</v>
      </c>
      <c r="C10" s="17">
        <v>0.44869158632810802</v>
      </c>
      <c r="D10" s="17">
        <v>0.497095508336514</v>
      </c>
      <c r="E10" s="17">
        <v>0.40346765393355499</v>
      </c>
      <c r="F10" s="17"/>
      <c r="G10" s="17">
        <v>0.32602575900979403</v>
      </c>
      <c r="H10" s="17">
        <v>0.440725478663134</v>
      </c>
      <c r="I10" s="17">
        <v>0.45948265333933602</v>
      </c>
      <c r="J10" s="17">
        <v>0.46753249912488198</v>
      </c>
      <c r="K10" s="17">
        <v>0.46366576422963202</v>
      </c>
      <c r="L10" s="17">
        <v>0.46940391756005401</v>
      </c>
      <c r="M10" s="17"/>
      <c r="N10" s="17">
        <v>0.40029757416081002</v>
      </c>
      <c r="O10" s="17">
        <v>0.43467625999557002</v>
      </c>
      <c r="P10" s="17">
        <v>0.54285210316392396</v>
      </c>
      <c r="Q10" s="17">
        <v>0.24935108420252799</v>
      </c>
      <c r="R10" s="17">
        <v>0.47248105401819601</v>
      </c>
      <c r="S10" s="17">
        <v>0.441058661937688</v>
      </c>
      <c r="T10" s="17">
        <v>0.48165543207172001</v>
      </c>
      <c r="U10" s="17">
        <v>0.47880860358043498</v>
      </c>
      <c r="V10" s="17">
        <v>0.54292693259513702</v>
      </c>
      <c r="W10" s="17"/>
      <c r="X10" s="17">
        <v>0.55312770326251604</v>
      </c>
      <c r="Y10" s="17">
        <v>0.39090013512156502</v>
      </c>
    </row>
    <row r="11" spans="2:25" x14ac:dyDescent="0.35">
      <c r="B11" s="18" t="s">
        <v>370</v>
      </c>
      <c r="C11" s="17">
        <v>0.348628622512556</v>
      </c>
      <c r="D11" s="17">
        <v>0.38739302308573098</v>
      </c>
      <c r="E11" s="17">
        <v>0.31183983160408302</v>
      </c>
      <c r="F11" s="17"/>
      <c r="G11" s="17">
        <v>0.50063040712732798</v>
      </c>
      <c r="H11" s="17">
        <v>0.45147702864082501</v>
      </c>
      <c r="I11" s="17">
        <v>0.37620545563357199</v>
      </c>
      <c r="J11" s="17">
        <v>0.32355714783992501</v>
      </c>
      <c r="K11" s="17">
        <v>0.30011964789629098</v>
      </c>
      <c r="L11" s="17">
        <v>0.26254982222423201</v>
      </c>
      <c r="M11" s="17"/>
      <c r="N11" s="17">
        <v>0.34961771919052798</v>
      </c>
      <c r="O11" s="17">
        <v>0.65463170643330304</v>
      </c>
      <c r="P11" s="17">
        <v>0.17257224127663001</v>
      </c>
      <c r="Q11" s="17">
        <v>0.29591301659397801</v>
      </c>
      <c r="R11" s="17">
        <v>0.38279932204567402</v>
      </c>
      <c r="S11" s="17">
        <v>0.28031255517773301</v>
      </c>
      <c r="T11" s="17">
        <v>0.53757494915937598</v>
      </c>
      <c r="U11" s="17">
        <v>0.28029717699212298</v>
      </c>
      <c r="V11" s="17">
        <v>0.54829798908976002</v>
      </c>
      <c r="W11" s="17"/>
      <c r="X11" s="17">
        <v>0.40430857435665901</v>
      </c>
      <c r="Y11" s="17">
        <v>0.31781720099827299</v>
      </c>
    </row>
    <row r="12" spans="2:25" x14ac:dyDescent="0.35">
      <c r="B12" s="18" t="s">
        <v>371</v>
      </c>
      <c r="C12" s="17">
        <v>0.34764051714809102</v>
      </c>
      <c r="D12" s="17">
        <v>0.33029288898189801</v>
      </c>
      <c r="E12" s="17">
        <v>0.36396967492101301</v>
      </c>
      <c r="F12" s="17"/>
      <c r="G12" s="17">
        <v>0.33206039138799098</v>
      </c>
      <c r="H12" s="17">
        <v>0.33331230509813298</v>
      </c>
      <c r="I12" s="17">
        <v>0.34734034011431097</v>
      </c>
      <c r="J12" s="17">
        <v>0.33129604648905903</v>
      </c>
      <c r="K12" s="17">
        <v>0.33810414406550998</v>
      </c>
      <c r="L12" s="17">
        <v>0.379559249214453</v>
      </c>
      <c r="M12" s="17"/>
      <c r="N12" s="17">
        <v>0.58608810267649103</v>
      </c>
      <c r="O12" s="17">
        <v>0.76768813719610296</v>
      </c>
      <c r="P12" s="17">
        <v>0.23002481441519501</v>
      </c>
      <c r="Q12" s="17">
        <v>5.3970046949287399E-2</v>
      </c>
      <c r="R12" s="17">
        <v>0.33519896312458602</v>
      </c>
      <c r="S12" s="17">
        <v>0.412701578650572</v>
      </c>
      <c r="T12" s="17">
        <v>0.42797812211248998</v>
      </c>
      <c r="U12" s="17">
        <v>0.38490107968478099</v>
      </c>
      <c r="V12" s="17">
        <v>0.61088411674593601</v>
      </c>
      <c r="W12" s="17"/>
      <c r="X12" s="17">
        <v>0.40565800881268699</v>
      </c>
      <c r="Y12" s="17">
        <v>0.31553557934418602</v>
      </c>
    </row>
    <row r="13" spans="2:25" x14ac:dyDescent="0.35">
      <c r="B13" s="18" t="s">
        <v>372</v>
      </c>
      <c r="C13" s="17">
        <v>0.24876560955125701</v>
      </c>
      <c r="D13" s="17">
        <v>0.24962004460274301</v>
      </c>
      <c r="E13" s="17">
        <v>0.24839349025127899</v>
      </c>
      <c r="F13" s="17"/>
      <c r="G13" s="17">
        <v>0.25432363502566102</v>
      </c>
      <c r="H13" s="17">
        <v>0.26398707505583902</v>
      </c>
      <c r="I13" s="17">
        <v>0.26813282622198797</v>
      </c>
      <c r="J13" s="17">
        <v>0.24370908990537099</v>
      </c>
      <c r="K13" s="17">
        <v>0.22311435064424701</v>
      </c>
      <c r="L13" s="17">
        <v>0.245602700011985</v>
      </c>
      <c r="M13" s="17"/>
      <c r="N13" s="17">
        <v>0.226025030024189</v>
      </c>
      <c r="O13" s="17">
        <v>0.231091964061168</v>
      </c>
      <c r="P13" s="17">
        <v>0.22883988715999001</v>
      </c>
      <c r="Q13" s="17">
        <v>0.15248526156428599</v>
      </c>
      <c r="R13" s="17">
        <v>0.141143759136408</v>
      </c>
      <c r="S13" s="17">
        <v>0.18800338016840701</v>
      </c>
      <c r="T13" s="17">
        <v>0.332566093899753</v>
      </c>
      <c r="U13" s="17">
        <v>0.40795080559507702</v>
      </c>
      <c r="V13" s="17">
        <v>0.36996820798980401</v>
      </c>
      <c r="W13" s="17"/>
      <c r="X13" s="17">
        <v>0.28397453589974198</v>
      </c>
      <c r="Y13" s="17">
        <v>0.22928216829710599</v>
      </c>
    </row>
    <row r="14" spans="2:25" ht="29" x14ac:dyDescent="0.35">
      <c r="B14" s="18" t="s">
        <v>373</v>
      </c>
      <c r="C14" s="17">
        <v>0.20607391453146701</v>
      </c>
      <c r="D14" s="17">
        <v>0.223482260375716</v>
      </c>
      <c r="E14" s="17">
        <v>0.189681098349259</v>
      </c>
      <c r="F14" s="17"/>
      <c r="G14" s="17">
        <v>0.26592355506769999</v>
      </c>
      <c r="H14" s="17">
        <v>0.20882218489673801</v>
      </c>
      <c r="I14" s="17">
        <v>0.21148833591961799</v>
      </c>
      <c r="J14" s="17">
        <v>0.211765024103231</v>
      </c>
      <c r="K14" s="17">
        <v>0.203290006865602</v>
      </c>
      <c r="L14" s="17">
        <v>0.17664444442146399</v>
      </c>
      <c r="M14" s="17"/>
      <c r="N14" s="17">
        <v>0.27407339990840102</v>
      </c>
      <c r="O14" s="17">
        <v>0.506042400962743</v>
      </c>
      <c r="P14" s="17">
        <v>0.21645621691685701</v>
      </c>
      <c r="Q14" s="17">
        <v>0.200092991982323</v>
      </c>
      <c r="R14" s="17">
        <v>0.123866743569037</v>
      </c>
      <c r="S14" s="17">
        <v>0.26609145979736598</v>
      </c>
      <c r="T14" s="17">
        <v>0.116911551107206</v>
      </c>
      <c r="U14" s="17">
        <v>0.217830773577288</v>
      </c>
      <c r="V14" s="17">
        <v>0.25905365519511803</v>
      </c>
      <c r="W14" s="17"/>
      <c r="X14" s="17">
        <v>0.27444354240360103</v>
      </c>
      <c r="Y14" s="17">
        <v>0.16824045107874799</v>
      </c>
    </row>
    <row r="15" spans="2:25" x14ac:dyDescent="0.35">
      <c r="B15" s="18" t="s">
        <v>374</v>
      </c>
      <c r="C15" s="17">
        <v>0.20603970968894</v>
      </c>
      <c r="D15" s="17">
        <v>0.202469604901892</v>
      </c>
      <c r="E15" s="17">
        <v>0.20939681396149001</v>
      </c>
      <c r="F15" s="17"/>
      <c r="G15" s="17">
        <v>0.24215908117514801</v>
      </c>
      <c r="H15" s="17">
        <v>0.27807123258966898</v>
      </c>
      <c r="I15" s="17">
        <v>0.26271598499765197</v>
      </c>
      <c r="J15" s="17">
        <v>0.24265172201819701</v>
      </c>
      <c r="K15" s="17">
        <v>0.17755680970430601</v>
      </c>
      <c r="L15" s="17">
        <v>0.10733048943413399</v>
      </c>
      <c r="M15" s="17"/>
      <c r="N15" s="17">
        <v>0.28720505635154803</v>
      </c>
      <c r="O15" s="17">
        <v>0.52124690295105403</v>
      </c>
      <c r="P15" s="17">
        <v>0.206103350632622</v>
      </c>
      <c r="Q15" s="17">
        <v>0.136600956621025</v>
      </c>
      <c r="R15" s="17">
        <v>0.115995964131687</v>
      </c>
      <c r="S15" s="17">
        <v>0.111950149242576</v>
      </c>
      <c r="T15" s="17">
        <v>0.34870145784363399</v>
      </c>
      <c r="U15" s="17">
        <v>0.24157443859163399</v>
      </c>
      <c r="V15" s="17">
        <v>0.19420756594569599</v>
      </c>
      <c r="W15" s="17"/>
      <c r="X15" s="17">
        <v>0.21828366441673799</v>
      </c>
      <c r="Y15" s="17">
        <v>0.19926431499793401</v>
      </c>
    </row>
    <row r="16" spans="2:25" x14ac:dyDescent="0.35">
      <c r="B16" s="18" t="s">
        <v>375</v>
      </c>
      <c r="C16" s="17">
        <v>0.15761613670034999</v>
      </c>
      <c r="D16" s="17">
        <v>0.14012136038519499</v>
      </c>
      <c r="E16" s="17">
        <v>0.17444050772772901</v>
      </c>
      <c r="F16" s="17"/>
      <c r="G16" s="17">
        <v>0.12843091346110999</v>
      </c>
      <c r="H16" s="17">
        <v>0.11227813412995701</v>
      </c>
      <c r="I16" s="17">
        <v>0.14219368128083301</v>
      </c>
      <c r="J16" s="17">
        <v>0.16305942205618301</v>
      </c>
      <c r="K16" s="17">
        <v>0.17637044235875299</v>
      </c>
      <c r="L16" s="17">
        <v>0.189145403832752</v>
      </c>
      <c r="M16" s="17"/>
      <c r="N16" s="17">
        <v>0.10364905427850001</v>
      </c>
      <c r="O16" s="17">
        <v>2.33656209574668E-2</v>
      </c>
      <c r="P16" s="17">
        <v>0.1286661728556</v>
      </c>
      <c r="Q16" s="17">
        <v>0.291552564201286</v>
      </c>
      <c r="R16" s="17">
        <v>0.187573145097814</v>
      </c>
      <c r="S16" s="17">
        <v>0.201027842778322</v>
      </c>
      <c r="T16" s="17">
        <v>0.107301478314435</v>
      </c>
      <c r="U16" s="17">
        <v>0.10835639965072801</v>
      </c>
      <c r="V16" s="17">
        <v>5.7909424017708599E-2</v>
      </c>
      <c r="W16" s="17"/>
      <c r="X16" s="17">
        <v>9.3546555642259097E-2</v>
      </c>
      <c r="Y16" s="17">
        <v>0.193070098186373</v>
      </c>
    </row>
    <row r="17" spans="2:25" x14ac:dyDescent="0.35">
      <c r="B17" s="18" t="s">
        <v>376</v>
      </c>
      <c r="C17" s="17">
        <v>9.4279699123882205E-2</v>
      </c>
      <c r="D17" s="17">
        <v>0.10412671770929</v>
      </c>
      <c r="E17" s="17">
        <v>8.5072550138513794E-2</v>
      </c>
      <c r="F17" s="17"/>
      <c r="G17" s="17">
        <v>0.14618359669900599</v>
      </c>
      <c r="H17" s="17">
        <v>0.113824201819812</v>
      </c>
      <c r="I17" s="17">
        <v>9.8084474143732198E-2</v>
      </c>
      <c r="J17" s="17">
        <v>7.4421085780716101E-2</v>
      </c>
      <c r="K17" s="17">
        <v>7.9835998741554698E-2</v>
      </c>
      <c r="L17" s="17">
        <v>8.4030684508405007E-2</v>
      </c>
      <c r="M17" s="17"/>
      <c r="N17" s="17">
        <v>4.41951489208861E-2</v>
      </c>
      <c r="O17" s="17">
        <v>4.1307312338633703E-2</v>
      </c>
      <c r="P17" s="17">
        <v>8.9845685112238297E-2</v>
      </c>
      <c r="Q17" s="17">
        <v>0.203347966396318</v>
      </c>
      <c r="R17" s="17">
        <v>3.8148378206363603E-2</v>
      </c>
      <c r="S17" s="17">
        <v>9.6845501479610102E-2</v>
      </c>
      <c r="T17" s="17">
        <v>8.0413737408725094E-2</v>
      </c>
      <c r="U17" s="17">
        <v>9.1146845382943195E-2</v>
      </c>
      <c r="V17" s="17">
        <v>6.2835918384140502E-2</v>
      </c>
      <c r="W17" s="17"/>
      <c r="X17" s="17">
        <v>0.108276423290535</v>
      </c>
      <c r="Y17" s="17">
        <v>8.6534380497792399E-2</v>
      </c>
    </row>
    <row r="18" spans="2:25" x14ac:dyDescent="0.35">
      <c r="B18" s="18" t="s">
        <v>68</v>
      </c>
      <c r="C18" s="19">
        <v>1.36894962372511E-2</v>
      </c>
      <c r="D18" s="19">
        <v>1.4755593468332299E-2</v>
      </c>
      <c r="E18" s="19">
        <v>1.2740648968126199E-2</v>
      </c>
      <c r="F18" s="19"/>
      <c r="G18" s="19">
        <v>1.4980133365718301E-2</v>
      </c>
      <c r="H18" s="19">
        <v>1.16392537732332E-2</v>
      </c>
      <c r="I18" s="19">
        <v>7.8921658394347192E-3</v>
      </c>
      <c r="J18" s="19">
        <v>1.58829666593184E-2</v>
      </c>
      <c r="K18" s="19">
        <v>1.42161231223635E-2</v>
      </c>
      <c r="L18" s="19">
        <v>1.6296074064947201E-2</v>
      </c>
      <c r="M18" s="19"/>
      <c r="N18" s="19">
        <v>3.0552435551558999E-2</v>
      </c>
      <c r="O18" s="19">
        <v>4.0991341966630703E-3</v>
      </c>
      <c r="P18" s="19">
        <v>1.38835694836123E-2</v>
      </c>
      <c r="Q18" s="19">
        <v>7.9946054916876803E-3</v>
      </c>
      <c r="R18" s="19">
        <v>1.7939388095001799E-2</v>
      </c>
      <c r="S18" s="19">
        <v>1.7658128365465701E-2</v>
      </c>
      <c r="T18" s="19">
        <v>4.98484207725891E-3</v>
      </c>
      <c r="U18" s="19">
        <v>1.5985901914326601E-2</v>
      </c>
      <c r="V18" s="19">
        <v>1.8864994028417799E-2</v>
      </c>
      <c r="W18" s="19"/>
      <c r="X18" s="19">
        <v>1.5707585602936999E-2</v>
      </c>
      <c r="Y18" s="19">
        <v>1.25727531360045E-2</v>
      </c>
    </row>
    <row r="19" spans="2:25" x14ac:dyDescent="0.35">
      <c r="B19" s="16"/>
    </row>
    <row r="20" spans="2:25" x14ac:dyDescent="0.35">
      <c r="B20" t="s">
        <v>51</v>
      </c>
    </row>
    <row r="21" spans="2:25" x14ac:dyDescent="0.35">
      <c r="B21" t="s">
        <v>52</v>
      </c>
    </row>
    <row r="23" spans="2:25" x14ac:dyDescent="0.35">
      <c r="B23" s="8" t="str">
        <f>HYPERLINK("#'Contents'!A1", "Return to Contents")</f>
        <v>Return to Contents</v>
      </c>
    </row>
  </sheetData>
  <mergeCells count="5">
    <mergeCell ref="D5:E5"/>
    <mergeCell ref="G5:L5"/>
    <mergeCell ref="N5:V5"/>
    <mergeCell ref="X5:Y5"/>
    <mergeCell ref="D2:W2"/>
  </mergeCells>
  <pageMargins left="0.7" right="0.7" top="0.75" bottom="0.75" header="0.3" footer="0.3"/>
  <pageSetup paperSize="9" orientation="portrait" horizontalDpi="300" verticalDpi="300"/>
  <drawing r:id="rId1"/>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D00-000000000000}">
  <dimension ref="B2:Y23"/>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s>
  <sheetData>
    <row r="2" spans="2:25" ht="40" customHeight="1" x14ac:dyDescent="0.35">
      <c r="D2" s="30" t="s">
        <v>378</v>
      </c>
      <c r="E2" s="26"/>
      <c r="F2" s="26"/>
      <c r="G2" s="26"/>
      <c r="H2" s="26"/>
      <c r="I2" s="26"/>
      <c r="J2" s="26"/>
      <c r="K2" s="26"/>
      <c r="L2" s="26"/>
      <c r="M2" s="26"/>
      <c r="N2" s="26"/>
      <c r="O2" s="26"/>
      <c r="P2" s="26"/>
      <c r="Q2" s="26"/>
      <c r="R2" s="26"/>
      <c r="S2" s="26"/>
      <c r="T2" s="26"/>
      <c r="U2" s="26"/>
      <c r="V2" s="26"/>
      <c r="W2" s="26"/>
    </row>
    <row r="5" spans="2:25" ht="30" customHeight="1" x14ac:dyDescent="0.35">
      <c r="B5" s="15"/>
      <c r="C5" s="15"/>
      <c r="D5" s="29" t="s">
        <v>38</v>
      </c>
      <c r="E5" s="29"/>
      <c r="F5" s="15"/>
      <c r="G5" s="29" t="s">
        <v>39</v>
      </c>
      <c r="H5" s="29"/>
      <c r="I5" s="29"/>
      <c r="J5" s="29"/>
      <c r="K5" s="29"/>
      <c r="L5" s="29"/>
      <c r="M5" s="15"/>
      <c r="N5" s="29" t="s">
        <v>40</v>
      </c>
      <c r="O5" s="29"/>
      <c r="P5" s="29"/>
      <c r="Q5" s="29"/>
      <c r="R5" s="29"/>
      <c r="S5" s="29"/>
      <c r="T5" s="29"/>
      <c r="U5" s="29"/>
      <c r="V5" s="29"/>
      <c r="W5" s="15"/>
      <c r="X5" s="29" t="s">
        <v>41</v>
      </c>
      <c r="Y5" s="29"/>
    </row>
    <row r="6" spans="2:25" ht="29"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row>
    <row r="7" spans="2:25" ht="30" customHeight="1" x14ac:dyDescent="0.35">
      <c r="B7" s="10" t="s">
        <v>19</v>
      </c>
      <c r="C7" s="10">
        <v>6838</v>
      </c>
      <c r="D7" s="10">
        <v>3283</v>
      </c>
      <c r="E7" s="10">
        <v>3541</v>
      </c>
      <c r="F7" s="10"/>
      <c r="G7" s="10">
        <v>635</v>
      </c>
      <c r="H7" s="10">
        <v>1075</v>
      </c>
      <c r="I7" s="10">
        <v>1093</v>
      </c>
      <c r="J7" s="10">
        <v>1228</v>
      </c>
      <c r="K7" s="10">
        <v>1156</v>
      </c>
      <c r="L7" s="10">
        <v>1651</v>
      </c>
      <c r="M7" s="10"/>
      <c r="N7" s="10">
        <v>208</v>
      </c>
      <c r="O7" s="10">
        <v>200</v>
      </c>
      <c r="P7" s="10">
        <v>1002</v>
      </c>
      <c r="Q7" s="10">
        <v>1000</v>
      </c>
      <c r="R7" s="10">
        <v>1004</v>
      </c>
      <c r="S7" s="10">
        <v>1006</v>
      </c>
      <c r="T7" s="10">
        <v>1006</v>
      </c>
      <c r="U7" s="10">
        <v>1007</v>
      </c>
      <c r="V7" s="10">
        <v>405</v>
      </c>
      <c r="W7" s="10"/>
      <c r="X7" s="10">
        <v>2650</v>
      </c>
      <c r="Y7" s="10">
        <v>4188</v>
      </c>
    </row>
    <row r="8" spans="2:25" ht="30" customHeight="1" x14ac:dyDescent="0.35">
      <c r="B8" s="11" t="s">
        <v>20</v>
      </c>
      <c r="C8" s="11">
        <v>6838</v>
      </c>
      <c r="D8" s="11">
        <v>3309</v>
      </c>
      <c r="E8" s="11">
        <v>3515</v>
      </c>
      <c r="F8" s="11"/>
      <c r="G8" s="11">
        <v>645</v>
      </c>
      <c r="H8" s="11">
        <v>1026</v>
      </c>
      <c r="I8" s="11">
        <v>1111</v>
      </c>
      <c r="J8" s="11">
        <v>1184</v>
      </c>
      <c r="K8" s="11">
        <v>1140</v>
      </c>
      <c r="L8" s="11">
        <v>1732</v>
      </c>
      <c r="M8" s="11"/>
      <c r="N8" s="11">
        <v>208</v>
      </c>
      <c r="O8" s="11">
        <v>200</v>
      </c>
      <c r="P8" s="11">
        <v>1002</v>
      </c>
      <c r="Q8" s="11">
        <v>1000</v>
      </c>
      <c r="R8" s="11">
        <v>1004</v>
      </c>
      <c r="S8" s="11">
        <v>1006</v>
      </c>
      <c r="T8" s="11">
        <v>1006</v>
      </c>
      <c r="U8" s="11">
        <v>1007</v>
      </c>
      <c r="V8" s="11">
        <v>405</v>
      </c>
      <c r="W8" s="11"/>
      <c r="X8" s="11">
        <v>2436</v>
      </c>
      <c r="Y8" s="11">
        <v>4402</v>
      </c>
    </row>
    <row r="9" spans="2:25" x14ac:dyDescent="0.35">
      <c r="B9" s="18" t="s">
        <v>147</v>
      </c>
      <c r="C9" s="17">
        <v>0.68831046069952695</v>
      </c>
      <c r="D9" s="17">
        <v>0.66624567172620597</v>
      </c>
      <c r="E9" s="17">
        <v>0.70874948327037102</v>
      </c>
      <c r="F9" s="17"/>
      <c r="G9" s="17">
        <v>0.666983861329151</v>
      </c>
      <c r="H9" s="17">
        <v>0.646522357015478</v>
      </c>
      <c r="I9" s="17">
        <v>0.66939739945334298</v>
      </c>
      <c r="J9" s="17">
        <v>0.70819799854879995</v>
      </c>
      <c r="K9" s="17">
        <v>0.69470219539161104</v>
      </c>
      <c r="L9" s="17">
        <v>0.71531955742350894</v>
      </c>
      <c r="M9" s="17"/>
      <c r="N9" s="17">
        <v>0.74775616987636195</v>
      </c>
      <c r="O9" s="17">
        <v>0.77408233226883605</v>
      </c>
      <c r="P9" s="17">
        <v>0.75222133732590502</v>
      </c>
      <c r="Q9" s="17">
        <v>0.491616767644801</v>
      </c>
      <c r="R9" s="17">
        <v>0.71616332514826098</v>
      </c>
      <c r="S9" s="17">
        <v>0.65243312163450795</v>
      </c>
      <c r="T9" s="17">
        <v>0.66569358060819706</v>
      </c>
      <c r="U9" s="17">
        <v>0.77062512740578604</v>
      </c>
      <c r="V9" s="17">
        <v>0.81454737932670696</v>
      </c>
      <c r="W9" s="17"/>
      <c r="X9" s="17">
        <v>0.72103193976818103</v>
      </c>
      <c r="Y9" s="17">
        <v>0.67020348950497699</v>
      </c>
    </row>
    <row r="10" spans="2:25" x14ac:dyDescent="0.35">
      <c r="B10" s="18" t="s">
        <v>369</v>
      </c>
      <c r="C10" s="17">
        <v>0.58405388430963401</v>
      </c>
      <c r="D10" s="17">
        <v>0.61338704519741405</v>
      </c>
      <c r="E10" s="17">
        <v>0.55624699458476401</v>
      </c>
      <c r="F10" s="17"/>
      <c r="G10" s="17">
        <v>0.544365120839158</v>
      </c>
      <c r="H10" s="17">
        <v>0.57115930522507796</v>
      </c>
      <c r="I10" s="17">
        <v>0.61232092579030195</v>
      </c>
      <c r="J10" s="17">
        <v>0.59505976208965095</v>
      </c>
      <c r="K10" s="17">
        <v>0.58431186503778798</v>
      </c>
      <c r="L10" s="17">
        <v>0.58063469223173803</v>
      </c>
      <c r="M10" s="17"/>
      <c r="N10" s="17">
        <v>0.62846691753927297</v>
      </c>
      <c r="O10" s="17">
        <v>0.53400027733004496</v>
      </c>
      <c r="P10" s="17">
        <v>0.686978777739502</v>
      </c>
      <c r="Q10" s="17">
        <v>0.40074194080549502</v>
      </c>
      <c r="R10" s="17">
        <v>0.65436358222546198</v>
      </c>
      <c r="S10" s="17">
        <v>0.59589817636663001</v>
      </c>
      <c r="T10" s="17">
        <v>0.52483910677520895</v>
      </c>
      <c r="U10" s="17">
        <v>0.57406211593672296</v>
      </c>
      <c r="V10" s="17">
        <v>0.75215139839824896</v>
      </c>
      <c r="W10" s="17"/>
      <c r="X10" s="17">
        <v>0.65403840921420597</v>
      </c>
      <c r="Y10" s="17">
        <v>0.54532679089638603</v>
      </c>
    </row>
    <row r="11" spans="2:25" ht="29" x14ac:dyDescent="0.35">
      <c r="B11" s="18" t="s">
        <v>373</v>
      </c>
      <c r="C11" s="17">
        <v>0.56737805352496895</v>
      </c>
      <c r="D11" s="17">
        <v>0.58229286525563695</v>
      </c>
      <c r="E11" s="17">
        <v>0.55398887621362203</v>
      </c>
      <c r="F11" s="17"/>
      <c r="G11" s="17">
        <v>0.53867909823889704</v>
      </c>
      <c r="H11" s="17">
        <v>0.537287376372238</v>
      </c>
      <c r="I11" s="17">
        <v>0.57265528182696401</v>
      </c>
      <c r="J11" s="17">
        <v>0.58342471337731505</v>
      </c>
      <c r="K11" s="17">
        <v>0.59595480219861596</v>
      </c>
      <c r="L11" s="17">
        <v>0.56271117391024394</v>
      </c>
      <c r="M11" s="17"/>
      <c r="N11" s="17">
        <v>0.53674311209625303</v>
      </c>
      <c r="O11" s="17">
        <v>0.72861506763669104</v>
      </c>
      <c r="P11" s="17">
        <v>0.56537008905826303</v>
      </c>
      <c r="Q11" s="17">
        <v>0.58121196070360404</v>
      </c>
      <c r="R11" s="17">
        <v>0.552641764117483</v>
      </c>
      <c r="S11" s="17">
        <v>0.61257778206010305</v>
      </c>
      <c r="T11" s="17">
        <v>0.50434764825807998</v>
      </c>
      <c r="U11" s="17">
        <v>0.50649290299166105</v>
      </c>
      <c r="V11" s="17">
        <v>0.70650639958951</v>
      </c>
      <c r="W11" s="17"/>
      <c r="X11" s="17">
        <v>0.63507973294522102</v>
      </c>
      <c r="Y11" s="17">
        <v>0.52991421038654796</v>
      </c>
    </row>
    <row r="12" spans="2:25" x14ac:dyDescent="0.35">
      <c r="B12" s="18" t="s">
        <v>371</v>
      </c>
      <c r="C12" s="17">
        <v>0.54974731683848299</v>
      </c>
      <c r="D12" s="17">
        <v>0.53427712865353405</v>
      </c>
      <c r="E12" s="17">
        <v>0.56369017164674595</v>
      </c>
      <c r="F12" s="17"/>
      <c r="G12" s="17">
        <v>0.54102861390262103</v>
      </c>
      <c r="H12" s="17">
        <v>0.51196521258804595</v>
      </c>
      <c r="I12" s="17">
        <v>0.545765702232619</v>
      </c>
      <c r="J12" s="17">
        <v>0.56110181202735399</v>
      </c>
      <c r="K12" s="17">
        <v>0.563089969693221</v>
      </c>
      <c r="L12" s="17">
        <v>0.56137093437757801</v>
      </c>
      <c r="M12" s="17"/>
      <c r="N12" s="17">
        <v>0.68315516906903995</v>
      </c>
      <c r="O12" s="17">
        <v>0.77208101608247603</v>
      </c>
      <c r="P12" s="17">
        <v>0.48928368976915598</v>
      </c>
      <c r="Q12" s="17">
        <v>0.34331270653596502</v>
      </c>
      <c r="R12" s="17">
        <v>0.62318264224067599</v>
      </c>
      <c r="S12" s="17">
        <v>0.56944167600282503</v>
      </c>
      <c r="T12" s="17">
        <v>0.57345555329012399</v>
      </c>
      <c r="U12" s="17">
        <v>0.55396550124785804</v>
      </c>
      <c r="V12" s="17">
        <v>0.73039867960270699</v>
      </c>
      <c r="W12" s="17"/>
      <c r="X12" s="17">
        <v>0.58921981940040702</v>
      </c>
      <c r="Y12" s="17">
        <v>0.52790455522718904</v>
      </c>
    </row>
    <row r="13" spans="2:25" x14ac:dyDescent="0.35">
      <c r="B13" s="18" t="s">
        <v>374</v>
      </c>
      <c r="C13" s="17">
        <v>0.46379089069330298</v>
      </c>
      <c r="D13" s="17">
        <v>0.46929480573735499</v>
      </c>
      <c r="E13" s="17">
        <v>0.45814605685125998</v>
      </c>
      <c r="F13" s="17"/>
      <c r="G13" s="17">
        <v>0.44275455682376202</v>
      </c>
      <c r="H13" s="17">
        <v>0.49530436018651702</v>
      </c>
      <c r="I13" s="17">
        <v>0.52612148927661895</v>
      </c>
      <c r="J13" s="17">
        <v>0.50675188315349795</v>
      </c>
      <c r="K13" s="17">
        <v>0.49200097284205502</v>
      </c>
      <c r="L13" s="17">
        <v>0.36505608786472599</v>
      </c>
      <c r="M13" s="17"/>
      <c r="N13" s="17">
        <v>0.48865810670249699</v>
      </c>
      <c r="O13" s="17">
        <v>0.69116942695130301</v>
      </c>
      <c r="P13" s="17">
        <v>0.46980432483897899</v>
      </c>
      <c r="Q13" s="17">
        <v>0.39603489688263599</v>
      </c>
      <c r="R13" s="17">
        <v>0.36819470700335799</v>
      </c>
      <c r="S13" s="17">
        <v>0.45663912444967703</v>
      </c>
      <c r="T13" s="17">
        <v>0.53658494027685</v>
      </c>
      <c r="U13" s="17">
        <v>0.46208224752441601</v>
      </c>
      <c r="V13" s="17">
        <v>0.56933528494268404</v>
      </c>
      <c r="W13" s="17"/>
      <c r="X13" s="17">
        <v>0.50495371751734697</v>
      </c>
      <c r="Y13" s="17">
        <v>0.44101276021743302</v>
      </c>
    </row>
    <row r="14" spans="2:25" x14ac:dyDescent="0.35">
      <c r="B14" s="18" t="s">
        <v>370</v>
      </c>
      <c r="C14" s="17">
        <v>0.46359432068739098</v>
      </c>
      <c r="D14" s="17">
        <v>0.50733830309913297</v>
      </c>
      <c r="E14" s="17">
        <v>0.42139532802123197</v>
      </c>
      <c r="F14" s="17"/>
      <c r="G14" s="17">
        <v>0.52608196777951999</v>
      </c>
      <c r="H14" s="17">
        <v>0.48966361759251298</v>
      </c>
      <c r="I14" s="17">
        <v>0.48729148433881098</v>
      </c>
      <c r="J14" s="17">
        <v>0.47804297889583303</v>
      </c>
      <c r="K14" s="17">
        <v>0.443357105882833</v>
      </c>
      <c r="L14" s="17">
        <v>0.41315355654216801</v>
      </c>
      <c r="M14" s="17"/>
      <c r="N14" s="17">
        <v>0.49999048084296399</v>
      </c>
      <c r="O14" s="17">
        <v>0.67950407303949401</v>
      </c>
      <c r="P14" s="17">
        <v>0.38790260963454998</v>
      </c>
      <c r="Q14" s="17">
        <v>0.38344384200821702</v>
      </c>
      <c r="R14" s="17">
        <v>0.51759374372803402</v>
      </c>
      <c r="S14" s="17">
        <v>0.43685814586137001</v>
      </c>
      <c r="T14" s="17">
        <v>0.49023867902621499</v>
      </c>
      <c r="U14" s="17">
        <v>0.41670487710804199</v>
      </c>
      <c r="V14" s="17">
        <v>0.70639885824062598</v>
      </c>
      <c r="W14" s="17"/>
      <c r="X14" s="17">
        <v>0.53076807695541395</v>
      </c>
      <c r="Y14" s="17">
        <v>0.42642261254966102</v>
      </c>
    </row>
    <row r="15" spans="2:25" x14ac:dyDescent="0.35">
      <c r="B15" s="18" t="s">
        <v>372</v>
      </c>
      <c r="C15" s="17">
        <v>0.44110530352871702</v>
      </c>
      <c r="D15" s="17">
        <v>0.44147685693640898</v>
      </c>
      <c r="E15" s="17">
        <v>0.44059276598673403</v>
      </c>
      <c r="F15" s="17"/>
      <c r="G15" s="17">
        <v>0.41863303111755201</v>
      </c>
      <c r="H15" s="17">
        <v>0.43071676747951598</v>
      </c>
      <c r="I15" s="17">
        <v>0.44841827158603798</v>
      </c>
      <c r="J15" s="17">
        <v>0.47061052866415598</v>
      </c>
      <c r="K15" s="17">
        <v>0.45578681666674598</v>
      </c>
      <c r="L15" s="17">
        <v>0.42110119850678501</v>
      </c>
      <c r="M15" s="17"/>
      <c r="N15" s="17">
        <v>0.43237208841837899</v>
      </c>
      <c r="O15" s="17">
        <v>0.37270290519183602</v>
      </c>
      <c r="P15" s="17">
        <v>0.482038697749197</v>
      </c>
      <c r="Q15" s="17">
        <v>0.30266435931733698</v>
      </c>
      <c r="R15" s="17">
        <v>0.42332250624587803</v>
      </c>
      <c r="S15" s="17">
        <v>0.436374995139233</v>
      </c>
      <c r="T15" s="17">
        <v>0.44497860702457898</v>
      </c>
      <c r="U15" s="17">
        <v>0.54587644010746905</v>
      </c>
      <c r="V15" s="17">
        <v>0.50563422321497797</v>
      </c>
      <c r="W15" s="17"/>
      <c r="X15" s="17">
        <v>0.479199444563987</v>
      </c>
      <c r="Y15" s="17">
        <v>0.42002528104686199</v>
      </c>
    </row>
    <row r="16" spans="2:25" x14ac:dyDescent="0.35">
      <c r="B16" s="18" t="s">
        <v>376</v>
      </c>
      <c r="C16" s="17">
        <v>0.438185450327918</v>
      </c>
      <c r="D16" s="17">
        <v>0.45935323481215401</v>
      </c>
      <c r="E16" s="17">
        <v>0.41709017709857599</v>
      </c>
      <c r="F16" s="17"/>
      <c r="G16" s="17">
        <v>0.43830536005022602</v>
      </c>
      <c r="H16" s="17">
        <v>0.417634727875065</v>
      </c>
      <c r="I16" s="17">
        <v>0.450080623973386</v>
      </c>
      <c r="J16" s="17">
        <v>0.431748064541565</v>
      </c>
      <c r="K16" s="17">
        <v>0.44628342467215698</v>
      </c>
      <c r="L16" s="17">
        <v>0.44174509156071901</v>
      </c>
      <c r="M16" s="17"/>
      <c r="N16" s="17">
        <v>0.51327431112593502</v>
      </c>
      <c r="O16" s="17">
        <v>0.47083415873533302</v>
      </c>
      <c r="P16" s="17">
        <v>0.41244463968380202</v>
      </c>
      <c r="Q16" s="17">
        <v>0.46471532743140198</v>
      </c>
      <c r="R16" s="17">
        <v>0.40887530836819003</v>
      </c>
      <c r="S16" s="17">
        <v>0.46771689514145098</v>
      </c>
      <c r="T16" s="17">
        <v>0.43910236471956599</v>
      </c>
      <c r="U16" s="17">
        <v>0.35823037466568802</v>
      </c>
      <c r="V16" s="17">
        <v>0.577507141175991</v>
      </c>
      <c r="W16" s="17"/>
      <c r="X16" s="17">
        <v>0.48796323363136201</v>
      </c>
      <c r="Y16" s="17">
        <v>0.41064009131425799</v>
      </c>
    </row>
    <row r="17" spans="2:25" x14ac:dyDescent="0.35">
      <c r="B17" s="18" t="s">
        <v>375</v>
      </c>
      <c r="C17" s="17">
        <v>9.7912907106918606E-2</v>
      </c>
      <c r="D17" s="17">
        <v>9.1345410999233698E-2</v>
      </c>
      <c r="E17" s="17">
        <v>0.104487341608061</v>
      </c>
      <c r="F17" s="17"/>
      <c r="G17" s="17">
        <v>6.9609171248655094E-2</v>
      </c>
      <c r="H17" s="17">
        <v>7.0293795160953396E-2</v>
      </c>
      <c r="I17" s="17">
        <v>8.9946080124421707E-2</v>
      </c>
      <c r="J17" s="17">
        <v>0.108519327994091</v>
      </c>
      <c r="K17" s="17">
        <v>0.119010923093068</v>
      </c>
      <c r="L17" s="17">
        <v>0.108771482107067</v>
      </c>
      <c r="M17" s="17"/>
      <c r="N17" s="17">
        <v>6.7238216302652906E-2</v>
      </c>
      <c r="O17" s="17">
        <v>1.9631335394863898E-2</v>
      </c>
      <c r="P17" s="17">
        <v>7.8199040082915797E-2</v>
      </c>
      <c r="Q17" s="17">
        <v>0.16436816144408001</v>
      </c>
      <c r="R17" s="17">
        <v>9.2106763261035701E-2</v>
      </c>
      <c r="S17" s="17">
        <v>0.13284918082597999</v>
      </c>
      <c r="T17" s="17">
        <v>8.0176550894978701E-2</v>
      </c>
      <c r="U17" s="17">
        <v>8.4754541150295695E-2</v>
      </c>
      <c r="V17" s="17">
        <v>4.1397885818053301E-2</v>
      </c>
      <c r="W17" s="17"/>
      <c r="X17" s="17">
        <v>6.3413149224116006E-2</v>
      </c>
      <c r="Y17" s="17">
        <v>0.11700391827093699</v>
      </c>
    </row>
    <row r="18" spans="2:25" x14ac:dyDescent="0.35">
      <c r="B18" s="18" t="s">
        <v>68</v>
      </c>
      <c r="C18" s="19">
        <v>8.8868799293686396E-3</v>
      </c>
      <c r="D18" s="19">
        <v>9.3827571904995695E-3</v>
      </c>
      <c r="E18" s="19">
        <v>8.4556208381833201E-3</v>
      </c>
      <c r="F18" s="19"/>
      <c r="G18" s="19">
        <v>1.0134212377241001E-2</v>
      </c>
      <c r="H18" s="19">
        <v>3.3113858179550401E-3</v>
      </c>
      <c r="I18" s="19">
        <v>5.51783739314325E-3</v>
      </c>
      <c r="J18" s="19">
        <v>9.9280976352199898E-3</v>
      </c>
      <c r="K18" s="19">
        <v>5.1539309350998397E-3</v>
      </c>
      <c r="L18" s="19">
        <v>1.5629964014228899E-2</v>
      </c>
      <c r="M18" s="19"/>
      <c r="N18" s="19">
        <v>5.3529165649355802E-3</v>
      </c>
      <c r="O18" s="19">
        <v>3.31787660846319E-3</v>
      </c>
      <c r="P18" s="19">
        <v>7.3069378566550302E-3</v>
      </c>
      <c r="Q18" s="19">
        <v>4.7030052146199699E-3</v>
      </c>
      <c r="R18" s="19">
        <v>6.34403664507291E-3</v>
      </c>
      <c r="S18" s="19">
        <v>1.6681896855503298E-2</v>
      </c>
      <c r="T18" s="19">
        <v>7.3172027055178604E-3</v>
      </c>
      <c r="U18" s="19">
        <v>9.8888805459444208E-3</v>
      </c>
      <c r="V18" s="19">
        <v>1.6040336748219301E-2</v>
      </c>
      <c r="W18" s="19"/>
      <c r="X18" s="19">
        <v>8.0210205131739203E-3</v>
      </c>
      <c r="Y18" s="19">
        <v>9.3660175464266495E-3</v>
      </c>
    </row>
    <row r="19" spans="2:25" x14ac:dyDescent="0.35">
      <c r="B19" s="16"/>
    </row>
    <row r="20" spans="2:25" x14ac:dyDescent="0.35">
      <c r="B20" t="s">
        <v>51</v>
      </c>
    </row>
    <row r="21" spans="2:25" x14ac:dyDescent="0.35">
      <c r="B21" t="s">
        <v>52</v>
      </c>
    </row>
    <row r="23" spans="2:25" x14ac:dyDescent="0.35">
      <c r="B23" s="8" t="str">
        <f>HYPERLINK("#'Contents'!A1", "Return to Contents")</f>
        <v>Return to Contents</v>
      </c>
    </row>
  </sheetData>
  <mergeCells count="5">
    <mergeCell ref="D5:E5"/>
    <mergeCell ref="G5:L5"/>
    <mergeCell ref="N5:V5"/>
    <mergeCell ref="X5:Y5"/>
    <mergeCell ref="D2:W2"/>
  </mergeCells>
  <pageMargins left="0.7" right="0.7" top="0.75" bottom="0.75" header="0.3" footer="0.3"/>
  <pageSetup paperSize="9" orientation="portrait" horizontalDpi="300" verticalDpi="300"/>
  <drawing r:id="rId1"/>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E00-000000000000}">
  <dimension ref="B2:Y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s>
  <sheetData>
    <row r="2" spans="2:25" ht="40" customHeight="1" x14ac:dyDescent="0.35">
      <c r="D2" s="30" t="s">
        <v>386</v>
      </c>
      <c r="E2" s="26"/>
      <c r="F2" s="26"/>
      <c r="G2" s="26"/>
      <c r="H2" s="26"/>
      <c r="I2" s="26"/>
      <c r="J2" s="26"/>
      <c r="K2" s="26"/>
      <c r="L2" s="26"/>
      <c r="M2" s="26"/>
      <c r="N2" s="26"/>
      <c r="O2" s="26"/>
      <c r="P2" s="26"/>
      <c r="Q2" s="26"/>
      <c r="R2" s="26"/>
      <c r="S2" s="26"/>
      <c r="T2" s="26"/>
      <c r="U2" s="26"/>
      <c r="V2" s="26"/>
      <c r="W2" s="26"/>
    </row>
    <row r="5" spans="2:25" ht="30" customHeight="1" x14ac:dyDescent="0.35">
      <c r="B5" s="15"/>
      <c r="C5" s="15"/>
      <c r="D5" s="29" t="s">
        <v>38</v>
      </c>
      <c r="E5" s="29"/>
      <c r="F5" s="15"/>
      <c r="G5" s="29" t="s">
        <v>39</v>
      </c>
      <c r="H5" s="29"/>
      <c r="I5" s="29"/>
      <c r="J5" s="29"/>
      <c r="K5" s="29"/>
      <c r="L5" s="29"/>
      <c r="M5" s="15"/>
      <c r="N5" s="29" t="s">
        <v>40</v>
      </c>
      <c r="O5" s="29"/>
      <c r="P5" s="29"/>
      <c r="Q5" s="29"/>
      <c r="R5" s="29"/>
      <c r="S5" s="29"/>
      <c r="T5" s="29"/>
      <c r="U5" s="29"/>
      <c r="V5" s="29"/>
      <c r="W5" s="15"/>
      <c r="X5" s="29" t="s">
        <v>41</v>
      </c>
      <c r="Y5" s="29"/>
    </row>
    <row r="6" spans="2:25" ht="29"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row>
    <row r="7" spans="2:25" ht="30" customHeight="1" x14ac:dyDescent="0.35">
      <c r="B7" s="10" t="s">
        <v>19</v>
      </c>
      <c r="C7" s="10">
        <v>6838</v>
      </c>
      <c r="D7" s="10">
        <v>3283</v>
      </c>
      <c r="E7" s="10">
        <v>3541</v>
      </c>
      <c r="F7" s="10"/>
      <c r="G7" s="10">
        <v>635</v>
      </c>
      <c r="H7" s="10">
        <v>1075</v>
      </c>
      <c r="I7" s="10">
        <v>1093</v>
      </c>
      <c r="J7" s="10">
        <v>1228</v>
      </c>
      <c r="K7" s="10">
        <v>1156</v>
      </c>
      <c r="L7" s="10">
        <v>1651</v>
      </c>
      <c r="M7" s="10"/>
      <c r="N7" s="10">
        <v>208</v>
      </c>
      <c r="O7" s="10">
        <v>200</v>
      </c>
      <c r="P7" s="10">
        <v>1002</v>
      </c>
      <c r="Q7" s="10">
        <v>1000</v>
      </c>
      <c r="R7" s="10">
        <v>1004</v>
      </c>
      <c r="S7" s="10">
        <v>1006</v>
      </c>
      <c r="T7" s="10">
        <v>1006</v>
      </c>
      <c r="U7" s="10">
        <v>1007</v>
      </c>
      <c r="V7" s="10">
        <v>405</v>
      </c>
      <c r="W7" s="10"/>
      <c r="X7" s="10">
        <v>2650</v>
      </c>
      <c r="Y7" s="10">
        <v>4188</v>
      </c>
    </row>
    <row r="8" spans="2:25" ht="30" customHeight="1" x14ac:dyDescent="0.35">
      <c r="B8" s="11" t="s">
        <v>20</v>
      </c>
      <c r="C8" s="11">
        <v>6838</v>
      </c>
      <c r="D8" s="11">
        <v>3309</v>
      </c>
      <c r="E8" s="11">
        <v>3515</v>
      </c>
      <c r="F8" s="11"/>
      <c r="G8" s="11">
        <v>645</v>
      </c>
      <c r="H8" s="11">
        <v>1026</v>
      </c>
      <c r="I8" s="11">
        <v>1111</v>
      </c>
      <c r="J8" s="11">
        <v>1184</v>
      </c>
      <c r="K8" s="11">
        <v>1140</v>
      </c>
      <c r="L8" s="11">
        <v>1732</v>
      </c>
      <c r="M8" s="11"/>
      <c r="N8" s="11">
        <v>208</v>
      </c>
      <c r="O8" s="11">
        <v>200</v>
      </c>
      <c r="P8" s="11">
        <v>1002</v>
      </c>
      <c r="Q8" s="11">
        <v>1000</v>
      </c>
      <c r="R8" s="11">
        <v>1004</v>
      </c>
      <c r="S8" s="11">
        <v>1006</v>
      </c>
      <c r="T8" s="11">
        <v>1006</v>
      </c>
      <c r="U8" s="11">
        <v>1007</v>
      </c>
      <c r="V8" s="11">
        <v>405</v>
      </c>
      <c r="W8" s="11"/>
      <c r="X8" s="11">
        <v>2436</v>
      </c>
      <c r="Y8" s="11">
        <v>4402</v>
      </c>
    </row>
    <row r="9" spans="2:25" x14ac:dyDescent="0.35">
      <c r="B9" s="18" t="s">
        <v>379</v>
      </c>
      <c r="C9" s="17">
        <v>0.16992357090930699</v>
      </c>
      <c r="D9" s="17">
        <v>0.179377386370002</v>
      </c>
      <c r="E9" s="17">
        <v>0.16054577210441401</v>
      </c>
      <c r="F9" s="17"/>
      <c r="G9" s="17">
        <v>0.233623223038221</v>
      </c>
      <c r="H9" s="17">
        <v>0.22630347057983499</v>
      </c>
      <c r="I9" s="17">
        <v>0.20663835861984201</v>
      </c>
      <c r="J9" s="17">
        <v>0.17629249717820999</v>
      </c>
      <c r="K9" s="17">
        <v>0.1360186632616</v>
      </c>
      <c r="L9" s="17">
        <v>0.10725576804317399</v>
      </c>
      <c r="M9" s="17"/>
      <c r="N9" s="17">
        <v>0.330431107155708</v>
      </c>
      <c r="O9" s="17">
        <v>0.19320962317073001</v>
      </c>
      <c r="P9" s="17">
        <v>0.20834971560802701</v>
      </c>
      <c r="Q9" s="17">
        <v>7.5878846057478105E-2</v>
      </c>
      <c r="R9" s="17">
        <v>0.12974917606494299</v>
      </c>
      <c r="S9" s="17">
        <v>0.28730205500761202</v>
      </c>
      <c r="T9" s="17">
        <v>0.13458291830664201</v>
      </c>
      <c r="U9" s="17">
        <v>0.12879709304740899</v>
      </c>
      <c r="V9" s="17">
        <v>0.211203440090133</v>
      </c>
      <c r="W9" s="17"/>
      <c r="X9" s="17">
        <v>0.205863142210094</v>
      </c>
      <c r="Y9" s="17">
        <v>0.15003581519623299</v>
      </c>
    </row>
    <row r="10" spans="2:25" x14ac:dyDescent="0.35">
      <c r="B10" s="18" t="s">
        <v>380</v>
      </c>
      <c r="C10" s="17">
        <v>0.42646387153832299</v>
      </c>
      <c r="D10" s="17">
        <v>0.43416905227053099</v>
      </c>
      <c r="E10" s="17">
        <v>0.41912676595110598</v>
      </c>
      <c r="F10" s="17"/>
      <c r="G10" s="17">
        <v>0.41997052450420702</v>
      </c>
      <c r="H10" s="17">
        <v>0.43955651302148002</v>
      </c>
      <c r="I10" s="17">
        <v>0.46068303588540199</v>
      </c>
      <c r="J10" s="17">
        <v>0.427390242494323</v>
      </c>
      <c r="K10" s="17">
        <v>0.42097246125938498</v>
      </c>
      <c r="L10" s="17">
        <v>0.40216124495561301</v>
      </c>
      <c r="M10" s="17"/>
      <c r="N10" s="17">
        <v>0.42026456049145999</v>
      </c>
      <c r="O10" s="17">
        <v>0.55019286540027201</v>
      </c>
      <c r="P10" s="17">
        <v>0.49969786992833998</v>
      </c>
      <c r="Q10" s="17">
        <v>0.28491759986286702</v>
      </c>
      <c r="R10" s="17">
        <v>0.46136902618993902</v>
      </c>
      <c r="S10" s="17">
        <v>0.45269262388996401</v>
      </c>
      <c r="T10" s="17">
        <v>0.42498619845215402</v>
      </c>
      <c r="U10" s="17">
        <v>0.38982980780017901</v>
      </c>
      <c r="V10" s="17">
        <v>0.47993449965447699</v>
      </c>
      <c r="W10" s="17"/>
      <c r="X10" s="17">
        <v>0.46779222324311298</v>
      </c>
      <c r="Y10" s="17">
        <v>0.40359414513424502</v>
      </c>
    </row>
    <row r="11" spans="2:25" x14ac:dyDescent="0.35">
      <c r="B11" s="18" t="s">
        <v>381</v>
      </c>
      <c r="C11" s="17">
        <v>0.24537809718618001</v>
      </c>
      <c r="D11" s="17">
        <v>0.23511025639585301</v>
      </c>
      <c r="E11" s="17">
        <v>0.25573381558049801</v>
      </c>
      <c r="F11" s="17"/>
      <c r="G11" s="17">
        <v>0.229442034110452</v>
      </c>
      <c r="H11" s="17">
        <v>0.22111020950105501</v>
      </c>
      <c r="I11" s="17">
        <v>0.19682556854887001</v>
      </c>
      <c r="J11" s="17">
        <v>0.24425318724631101</v>
      </c>
      <c r="K11" s="17">
        <v>0.28676752623134399</v>
      </c>
      <c r="L11" s="17">
        <v>0.270344407275316</v>
      </c>
      <c r="M11" s="17"/>
      <c r="N11" s="17">
        <v>0.18042229391324699</v>
      </c>
      <c r="O11" s="17">
        <v>0.105364198580282</v>
      </c>
      <c r="P11" s="17">
        <v>0.190665667748982</v>
      </c>
      <c r="Q11" s="17">
        <v>0.31612846799653499</v>
      </c>
      <c r="R11" s="17">
        <v>0.27729381703745498</v>
      </c>
      <c r="S11" s="17">
        <v>0.17672453484766301</v>
      </c>
      <c r="T11" s="17">
        <v>0.31641065825187398</v>
      </c>
      <c r="U11" s="17">
        <v>0.25970003314633899</v>
      </c>
      <c r="V11" s="17">
        <v>0.18791198687894101</v>
      </c>
      <c r="W11" s="17"/>
      <c r="X11" s="17">
        <v>0.19879177513593699</v>
      </c>
      <c r="Y11" s="17">
        <v>0.27115740837361102</v>
      </c>
    </row>
    <row r="12" spans="2:25" x14ac:dyDescent="0.35">
      <c r="B12" s="18" t="s">
        <v>382</v>
      </c>
      <c r="C12" s="17">
        <v>8.2763360271744801E-2</v>
      </c>
      <c r="D12" s="17">
        <v>8.3938192658969596E-2</v>
      </c>
      <c r="E12" s="17">
        <v>8.1707368798294197E-2</v>
      </c>
      <c r="F12" s="17"/>
      <c r="G12" s="17">
        <v>7.4629601937878695E-2</v>
      </c>
      <c r="H12" s="17">
        <v>5.9183815053805502E-2</v>
      </c>
      <c r="I12" s="17">
        <v>6.9866453421287403E-2</v>
      </c>
      <c r="J12" s="17">
        <v>6.7736113676248502E-2</v>
      </c>
      <c r="K12" s="17">
        <v>8.3252704066172495E-2</v>
      </c>
      <c r="L12" s="17">
        <v>0.117968562612561</v>
      </c>
      <c r="M12" s="17"/>
      <c r="N12" s="17">
        <v>4.1564825563304701E-2</v>
      </c>
      <c r="O12" s="17">
        <v>0.14040397707365701</v>
      </c>
      <c r="P12" s="17">
        <v>6.5915474744090999E-2</v>
      </c>
      <c r="Q12" s="17">
        <v>0.12183426729680299</v>
      </c>
      <c r="R12" s="17">
        <v>7.9211312108972295E-2</v>
      </c>
      <c r="S12" s="17">
        <v>4.6621458915314197E-2</v>
      </c>
      <c r="T12" s="17">
        <v>5.27483719171878E-2</v>
      </c>
      <c r="U12" s="17">
        <v>0.12634875888923899</v>
      </c>
      <c r="V12" s="17">
        <v>8.5433575406272999E-2</v>
      </c>
      <c r="W12" s="17"/>
      <c r="X12" s="17">
        <v>7.9825275861139897E-2</v>
      </c>
      <c r="Y12" s="17">
        <v>8.4389197834843901E-2</v>
      </c>
    </row>
    <row r="13" spans="2:25" x14ac:dyDescent="0.35">
      <c r="B13" s="18" t="s">
        <v>383</v>
      </c>
      <c r="C13" s="17">
        <v>2.5070250923487199E-2</v>
      </c>
      <c r="D13" s="17">
        <v>2.5346168412655998E-2</v>
      </c>
      <c r="E13" s="17">
        <v>2.4430679306006901E-2</v>
      </c>
      <c r="F13" s="17"/>
      <c r="G13" s="17">
        <v>1.3718491548671601E-2</v>
      </c>
      <c r="H13" s="17">
        <v>2.1254884499867201E-2</v>
      </c>
      <c r="I13" s="17">
        <v>2.4147869095806299E-2</v>
      </c>
      <c r="J13" s="17">
        <v>2.22454014092732E-2</v>
      </c>
      <c r="K13" s="17">
        <v>2.0353085483761298E-2</v>
      </c>
      <c r="L13" s="17">
        <v>3.7180363009426502E-2</v>
      </c>
      <c r="M13" s="17"/>
      <c r="N13" s="17">
        <v>2.31685854402446E-2</v>
      </c>
      <c r="O13" s="17">
        <v>6.6731799456184503E-3</v>
      </c>
      <c r="P13" s="17">
        <v>1.49670921917334E-2</v>
      </c>
      <c r="Q13" s="17">
        <v>3.6188379450539203E-2</v>
      </c>
      <c r="R13" s="17">
        <v>1.6942193005590599E-2</v>
      </c>
      <c r="S13" s="17">
        <v>1.05619703803124E-2</v>
      </c>
      <c r="T13" s="17">
        <v>1.3938270792686801E-2</v>
      </c>
      <c r="U13" s="17">
        <v>6.7243573151337194E-2</v>
      </c>
      <c r="V13" s="17">
        <v>1.16537917689085E-2</v>
      </c>
      <c r="W13" s="17"/>
      <c r="X13" s="17">
        <v>2.07552423964865E-2</v>
      </c>
      <c r="Y13" s="17">
        <v>2.7458032201305101E-2</v>
      </c>
    </row>
    <row r="14" spans="2:25" x14ac:dyDescent="0.35">
      <c r="B14" s="18" t="s">
        <v>80</v>
      </c>
      <c r="C14" s="17">
        <v>5.0400849170957197E-2</v>
      </c>
      <c r="D14" s="17">
        <v>4.2058943891987798E-2</v>
      </c>
      <c r="E14" s="17">
        <v>5.8455598259681399E-2</v>
      </c>
      <c r="F14" s="17"/>
      <c r="G14" s="17">
        <v>2.86161248605699E-2</v>
      </c>
      <c r="H14" s="17">
        <v>3.2591107343957697E-2</v>
      </c>
      <c r="I14" s="17">
        <v>4.1838714428792702E-2</v>
      </c>
      <c r="J14" s="17">
        <v>6.2082557995634002E-2</v>
      </c>
      <c r="K14" s="17">
        <v>5.2635559697737498E-2</v>
      </c>
      <c r="L14" s="17">
        <v>6.5089654103909197E-2</v>
      </c>
      <c r="M14" s="17"/>
      <c r="N14" s="17">
        <v>4.14862743603551E-3</v>
      </c>
      <c r="O14" s="17">
        <v>4.1561558294397703E-3</v>
      </c>
      <c r="P14" s="17">
        <v>2.0404179778826099E-2</v>
      </c>
      <c r="Q14" s="17">
        <v>0.16505243933577701</v>
      </c>
      <c r="R14" s="17">
        <v>3.54344755930995E-2</v>
      </c>
      <c r="S14" s="17">
        <v>2.6097356959134298E-2</v>
      </c>
      <c r="T14" s="17">
        <v>5.7333582279455397E-2</v>
      </c>
      <c r="U14" s="17">
        <v>2.8080733965496599E-2</v>
      </c>
      <c r="V14" s="17">
        <v>2.38627062012669E-2</v>
      </c>
      <c r="W14" s="17"/>
      <c r="X14" s="17">
        <v>2.6972341153229801E-2</v>
      </c>
      <c r="Y14" s="17">
        <v>6.3365401259761506E-2</v>
      </c>
    </row>
    <row r="15" spans="2:25" x14ac:dyDescent="0.35">
      <c r="B15" s="18" t="s">
        <v>384</v>
      </c>
      <c r="C15" s="21">
        <v>0.59638744244762998</v>
      </c>
      <c r="D15" s="21">
        <v>0.61354643864053304</v>
      </c>
      <c r="E15" s="21">
        <v>0.57967253805551899</v>
      </c>
      <c r="F15" s="21"/>
      <c r="G15" s="21">
        <v>0.65359374754242805</v>
      </c>
      <c r="H15" s="21">
        <v>0.66585998360131504</v>
      </c>
      <c r="I15" s="21">
        <v>0.66732139450524397</v>
      </c>
      <c r="J15" s="21">
        <v>0.60368273967253305</v>
      </c>
      <c r="K15" s="21">
        <v>0.55699112452098498</v>
      </c>
      <c r="L15" s="21">
        <v>0.50941701299878706</v>
      </c>
      <c r="M15" s="21"/>
      <c r="N15" s="21">
        <v>0.750695667647168</v>
      </c>
      <c r="O15" s="21">
        <v>0.743402488571002</v>
      </c>
      <c r="P15" s="21">
        <v>0.70804758553636704</v>
      </c>
      <c r="Q15" s="21">
        <v>0.36079644592034599</v>
      </c>
      <c r="R15" s="21">
        <v>0.59111820225488199</v>
      </c>
      <c r="S15" s="21">
        <v>0.73999467889757597</v>
      </c>
      <c r="T15" s="21">
        <v>0.55956911675879595</v>
      </c>
      <c r="U15" s="21">
        <v>0.518626900847588</v>
      </c>
      <c r="V15" s="21">
        <v>0.69113793974461002</v>
      </c>
      <c r="W15" s="21"/>
      <c r="X15" s="21">
        <v>0.67365536545320703</v>
      </c>
      <c r="Y15" s="21">
        <v>0.55362996033047895</v>
      </c>
    </row>
    <row r="16" spans="2:25" x14ac:dyDescent="0.35">
      <c r="B16" s="18" t="s">
        <v>385</v>
      </c>
      <c r="C16" s="21">
        <v>0.10783361119523199</v>
      </c>
      <c r="D16" s="21">
        <v>0.10928436107162599</v>
      </c>
      <c r="E16" s="21">
        <v>0.106138048104301</v>
      </c>
      <c r="F16" s="21"/>
      <c r="G16" s="21">
        <v>8.8348093486550303E-2</v>
      </c>
      <c r="H16" s="21">
        <v>8.0438699553672693E-2</v>
      </c>
      <c r="I16" s="21">
        <v>9.4014322517093699E-2</v>
      </c>
      <c r="J16" s="21">
        <v>8.9981515085521699E-2</v>
      </c>
      <c r="K16" s="21">
        <v>0.103605789549934</v>
      </c>
      <c r="L16" s="21">
        <v>0.15514892562198801</v>
      </c>
      <c r="M16" s="21"/>
      <c r="N16" s="21">
        <v>6.4733411003549304E-2</v>
      </c>
      <c r="O16" s="21">
        <v>0.14707715701927501</v>
      </c>
      <c r="P16" s="21">
        <v>8.0882566935824393E-2</v>
      </c>
      <c r="Q16" s="21">
        <v>0.15802264674734201</v>
      </c>
      <c r="R16" s="21">
        <v>9.6153505114562804E-2</v>
      </c>
      <c r="S16" s="21">
        <v>5.7183429295626698E-2</v>
      </c>
      <c r="T16" s="21">
        <v>6.6686642709874594E-2</v>
      </c>
      <c r="U16" s="21">
        <v>0.19359233204057599</v>
      </c>
      <c r="V16" s="21">
        <v>9.7087367175181502E-2</v>
      </c>
      <c r="W16" s="21"/>
      <c r="X16" s="21">
        <v>0.100580518257626</v>
      </c>
      <c r="Y16" s="21">
        <v>0.11184723003614901</v>
      </c>
    </row>
    <row r="17" spans="2:25" x14ac:dyDescent="0.35">
      <c r="B17" s="18" t="s">
        <v>92</v>
      </c>
      <c r="C17" s="22">
        <v>0.48855383125239799</v>
      </c>
      <c r="D17" s="22">
        <v>0.50426207756890795</v>
      </c>
      <c r="E17" s="22">
        <v>0.473534489951218</v>
      </c>
      <c r="F17" s="22"/>
      <c r="G17" s="22">
        <v>0.56524565405587801</v>
      </c>
      <c r="H17" s="22">
        <v>0.58542128404764204</v>
      </c>
      <c r="I17" s="22">
        <v>0.57330707198815001</v>
      </c>
      <c r="J17" s="22">
        <v>0.51370122458701095</v>
      </c>
      <c r="K17" s="22">
        <v>0.45338533497105099</v>
      </c>
      <c r="L17" s="22">
        <v>0.35426808737679899</v>
      </c>
      <c r="M17" s="22"/>
      <c r="N17" s="22">
        <v>0.68596225664361898</v>
      </c>
      <c r="O17" s="22">
        <v>0.59632533155172696</v>
      </c>
      <c r="P17" s="22">
        <v>0.62716501860054297</v>
      </c>
      <c r="Q17" s="22">
        <v>0.20277379917300301</v>
      </c>
      <c r="R17" s="22">
        <v>0.49496469714031899</v>
      </c>
      <c r="S17" s="22">
        <v>0.68281124960194906</v>
      </c>
      <c r="T17" s="22">
        <v>0.49288247404892099</v>
      </c>
      <c r="U17" s="22">
        <v>0.32503456880701098</v>
      </c>
      <c r="V17" s="22">
        <v>0.59405057256942895</v>
      </c>
      <c r="W17" s="22"/>
      <c r="X17" s="22">
        <v>0.57307484719558099</v>
      </c>
      <c r="Y17" s="22">
        <v>0.44178273029433002</v>
      </c>
    </row>
    <row r="18" spans="2:25" x14ac:dyDescent="0.35">
      <c r="B18" s="16"/>
    </row>
    <row r="19" spans="2:25" x14ac:dyDescent="0.35">
      <c r="B19" t="s">
        <v>51</v>
      </c>
    </row>
    <row r="20" spans="2:25" x14ac:dyDescent="0.35">
      <c r="B20" t="s">
        <v>52</v>
      </c>
    </row>
    <row r="22" spans="2:25" x14ac:dyDescent="0.35">
      <c r="B22" s="8" t="str">
        <f>HYPERLINK("#'Contents'!A1", "Return to Contents")</f>
        <v>Return to Contents</v>
      </c>
    </row>
  </sheetData>
  <mergeCells count="5">
    <mergeCell ref="D5:E5"/>
    <mergeCell ref="G5:L5"/>
    <mergeCell ref="N5:V5"/>
    <mergeCell ref="X5:Y5"/>
    <mergeCell ref="D2:W2"/>
  </mergeCells>
  <pageMargins left="0.7" right="0.7" top="0.75" bottom="0.75" header="0.3" footer="0.3"/>
  <pageSetup paperSize="9" orientation="portrait" horizontalDpi="300" verticalDpi="300"/>
  <drawing r:id="rId1"/>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F00-000000000000}">
  <dimension ref="B2:Y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s>
  <sheetData>
    <row r="2" spans="2:25" ht="40" customHeight="1" x14ac:dyDescent="0.35">
      <c r="D2" s="30" t="s">
        <v>387</v>
      </c>
      <c r="E2" s="26"/>
      <c r="F2" s="26"/>
      <c r="G2" s="26"/>
      <c r="H2" s="26"/>
      <c r="I2" s="26"/>
      <c r="J2" s="26"/>
      <c r="K2" s="26"/>
      <c r="L2" s="26"/>
      <c r="M2" s="26"/>
      <c r="N2" s="26"/>
      <c r="O2" s="26"/>
      <c r="P2" s="26"/>
      <c r="Q2" s="26"/>
      <c r="R2" s="26"/>
      <c r="S2" s="26"/>
      <c r="T2" s="26"/>
      <c r="U2" s="26"/>
      <c r="V2" s="26"/>
      <c r="W2" s="26"/>
    </row>
    <row r="5" spans="2:25" ht="30" customHeight="1" x14ac:dyDescent="0.35">
      <c r="B5" s="15"/>
      <c r="C5" s="15"/>
      <c r="D5" s="29" t="s">
        <v>38</v>
      </c>
      <c r="E5" s="29"/>
      <c r="F5" s="15"/>
      <c r="G5" s="29" t="s">
        <v>39</v>
      </c>
      <c r="H5" s="29"/>
      <c r="I5" s="29"/>
      <c r="J5" s="29"/>
      <c r="K5" s="29"/>
      <c r="L5" s="29"/>
      <c r="M5" s="15"/>
      <c r="N5" s="29" t="s">
        <v>40</v>
      </c>
      <c r="O5" s="29"/>
      <c r="P5" s="29"/>
      <c r="Q5" s="29"/>
      <c r="R5" s="29"/>
      <c r="S5" s="29"/>
      <c r="T5" s="29"/>
      <c r="U5" s="29"/>
      <c r="V5" s="29"/>
      <c r="W5" s="15"/>
      <c r="X5" s="29" t="s">
        <v>41</v>
      </c>
      <c r="Y5" s="29"/>
    </row>
    <row r="6" spans="2:25" ht="29"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row>
    <row r="7" spans="2:25" ht="30" customHeight="1" x14ac:dyDescent="0.35">
      <c r="B7" s="10" t="s">
        <v>19</v>
      </c>
      <c r="C7" s="10">
        <v>6838</v>
      </c>
      <c r="D7" s="10">
        <v>3283</v>
      </c>
      <c r="E7" s="10">
        <v>3541</v>
      </c>
      <c r="F7" s="10"/>
      <c r="G7" s="10">
        <v>635</v>
      </c>
      <c r="H7" s="10">
        <v>1075</v>
      </c>
      <c r="I7" s="10">
        <v>1093</v>
      </c>
      <c r="J7" s="10">
        <v>1228</v>
      </c>
      <c r="K7" s="10">
        <v>1156</v>
      </c>
      <c r="L7" s="10">
        <v>1651</v>
      </c>
      <c r="M7" s="10"/>
      <c r="N7" s="10">
        <v>208</v>
      </c>
      <c r="O7" s="10">
        <v>200</v>
      </c>
      <c r="P7" s="10">
        <v>1002</v>
      </c>
      <c r="Q7" s="10">
        <v>1000</v>
      </c>
      <c r="R7" s="10">
        <v>1004</v>
      </c>
      <c r="S7" s="10">
        <v>1006</v>
      </c>
      <c r="T7" s="10">
        <v>1006</v>
      </c>
      <c r="U7" s="10">
        <v>1007</v>
      </c>
      <c r="V7" s="10">
        <v>405</v>
      </c>
      <c r="W7" s="10"/>
      <c r="X7" s="10">
        <v>2650</v>
      </c>
      <c r="Y7" s="10">
        <v>4188</v>
      </c>
    </row>
    <row r="8" spans="2:25" ht="30" customHeight="1" x14ac:dyDescent="0.35">
      <c r="B8" s="11" t="s">
        <v>20</v>
      </c>
      <c r="C8" s="11">
        <v>6838</v>
      </c>
      <c r="D8" s="11">
        <v>3309</v>
      </c>
      <c r="E8" s="11">
        <v>3515</v>
      </c>
      <c r="F8" s="11"/>
      <c r="G8" s="11">
        <v>645</v>
      </c>
      <c r="H8" s="11">
        <v>1026</v>
      </c>
      <c r="I8" s="11">
        <v>1111</v>
      </c>
      <c r="J8" s="11">
        <v>1184</v>
      </c>
      <c r="K8" s="11">
        <v>1140</v>
      </c>
      <c r="L8" s="11">
        <v>1732</v>
      </c>
      <c r="M8" s="11"/>
      <c r="N8" s="11">
        <v>208</v>
      </c>
      <c r="O8" s="11">
        <v>200</v>
      </c>
      <c r="P8" s="11">
        <v>1002</v>
      </c>
      <c r="Q8" s="11">
        <v>1000</v>
      </c>
      <c r="R8" s="11">
        <v>1004</v>
      </c>
      <c r="S8" s="11">
        <v>1006</v>
      </c>
      <c r="T8" s="11">
        <v>1006</v>
      </c>
      <c r="U8" s="11">
        <v>1007</v>
      </c>
      <c r="V8" s="11">
        <v>405</v>
      </c>
      <c r="W8" s="11"/>
      <c r="X8" s="11">
        <v>2436</v>
      </c>
      <c r="Y8" s="11">
        <v>4402</v>
      </c>
    </row>
    <row r="9" spans="2:25" x14ac:dyDescent="0.35">
      <c r="B9" s="18" t="s">
        <v>85</v>
      </c>
      <c r="C9" s="17">
        <v>0.18821424259972899</v>
      </c>
      <c r="D9" s="17">
        <v>0.20945762383859001</v>
      </c>
      <c r="E9" s="17">
        <v>0.16815460706135099</v>
      </c>
      <c r="F9" s="17"/>
      <c r="G9" s="17">
        <v>0.18837654392933001</v>
      </c>
      <c r="H9" s="17">
        <v>0.221971404872808</v>
      </c>
      <c r="I9" s="17">
        <v>0.211888808525453</v>
      </c>
      <c r="J9" s="17">
        <v>0.22438512933014801</v>
      </c>
      <c r="K9" s="17">
        <v>0.18061925819519001</v>
      </c>
      <c r="L9" s="17">
        <v>0.13326582268706499</v>
      </c>
      <c r="M9" s="17"/>
      <c r="N9" s="17">
        <v>0.29345302372082999</v>
      </c>
      <c r="O9" s="17">
        <v>0.29567690979788802</v>
      </c>
      <c r="P9" s="17">
        <v>0.18984349545861101</v>
      </c>
      <c r="Q9" s="17">
        <v>0.13082810761033101</v>
      </c>
      <c r="R9" s="17">
        <v>0.122932594055894</v>
      </c>
      <c r="S9" s="17">
        <v>0.31714895086519101</v>
      </c>
      <c r="T9" s="17">
        <v>0.15722127537359901</v>
      </c>
      <c r="U9" s="17">
        <v>0.14274735133952199</v>
      </c>
      <c r="V9" s="17">
        <v>0.250362308929233</v>
      </c>
      <c r="W9" s="17"/>
      <c r="X9" s="17">
        <v>0.23632940891582599</v>
      </c>
      <c r="Y9" s="17">
        <v>0.16158892017226101</v>
      </c>
    </row>
    <row r="10" spans="2:25" x14ac:dyDescent="0.35">
      <c r="B10" s="18" t="s">
        <v>86</v>
      </c>
      <c r="C10" s="17">
        <v>0.47460373552730301</v>
      </c>
      <c r="D10" s="17">
        <v>0.470758122141752</v>
      </c>
      <c r="E10" s="17">
        <v>0.47893617725919502</v>
      </c>
      <c r="F10" s="17"/>
      <c r="G10" s="17">
        <v>0.50129975188588505</v>
      </c>
      <c r="H10" s="17">
        <v>0.466473281747735</v>
      </c>
      <c r="I10" s="17">
        <v>0.47421527807295599</v>
      </c>
      <c r="J10" s="17">
        <v>0.45455212211586299</v>
      </c>
      <c r="K10" s="17">
        <v>0.47305317307045902</v>
      </c>
      <c r="L10" s="17">
        <v>0.48445404371063</v>
      </c>
      <c r="M10" s="17"/>
      <c r="N10" s="17">
        <v>0.48307624812099398</v>
      </c>
      <c r="O10" s="17">
        <v>0.49532160076489201</v>
      </c>
      <c r="P10" s="17">
        <v>0.53096529546660198</v>
      </c>
      <c r="Q10" s="17">
        <v>0.42050075343916898</v>
      </c>
      <c r="R10" s="17">
        <v>0.51595692968079798</v>
      </c>
      <c r="S10" s="17">
        <v>0.45828805825461599</v>
      </c>
      <c r="T10" s="17">
        <v>0.445500845194503</v>
      </c>
      <c r="U10" s="17">
        <v>0.46175918218196998</v>
      </c>
      <c r="V10" s="17">
        <v>0.496405663087092</v>
      </c>
      <c r="W10" s="17"/>
      <c r="X10" s="17">
        <v>0.48707882094946903</v>
      </c>
      <c r="Y10" s="17">
        <v>0.46770044084692602</v>
      </c>
    </row>
    <row r="11" spans="2:25" ht="29" x14ac:dyDescent="0.35">
      <c r="B11" s="18" t="s">
        <v>181</v>
      </c>
      <c r="C11" s="17">
        <v>0.20824419292048699</v>
      </c>
      <c r="D11" s="17">
        <v>0.20044589429479301</v>
      </c>
      <c r="E11" s="17">
        <v>0.21521305821467199</v>
      </c>
      <c r="F11" s="17"/>
      <c r="G11" s="17">
        <v>0.214941994697641</v>
      </c>
      <c r="H11" s="17">
        <v>0.19503147051644501</v>
      </c>
      <c r="I11" s="17">
        <v>0.204371882258537</v>
      </c>
      <c r="J11" s="17">
        <v>0.19417353918337399</v>
      </c>
      <c r="K11" s="17">
        <v>0.219312631948965</v>
      </c>
      <c r="L11" s="17">
        <v>0.21838697075736799</v>
      </c>
      <c r="M11" s="17"/>
      <c r="N11" s="17">
        <v>0.130685533209805</v>
      </c>
      <c r="O11" s="17">
        <v>6.9845746265694994E-2</v>
      </c>
      <c r="P11" s="17">
        <v>0.192883029101409</v>
      </c>
      <c r="Q11" s="17">
        <v>0.23111249569918901</v>
      </c>
      <c r="R11" s="17">
        <v>0.22840980467786401</v>
      </c>
      <c r="S11" s="17">
        <v>0.148916838347292</v>
      </c>
      <c r="T11" s="17">
        <v>0.29279160289663902</v>
      </c>
      <c r="U11" s="17">
        <v>0.21649266216014601</v>
      </c>
      <c r="V11" s="17">
        <v>0.16481608293202499</v>
      </c>
      <c r="W11" s="17"/>
      <c r="X11" s="17">
        <v>0.18030222072399499</v>
      </c>
      <c r="Y11" s="17">
        <v>0.223706345001671</v>
      </c>
    </row>
    <row r="12" spans="2:25" x14ac:dyDescent="0.35">
      <c r="B12" s="18" t="s">
        <v>88</v>
      </c>
      <c r="C12" s="17">
        <v>7.2028794942755506E-2</v>
      </c>
      <c r="D12" s="17">
        <v>7.0031026481931297E-2</v>
      </c>
      <c r="E12" s="17">
        <v>7.3650529973098705E-2</v>
      </c>
      <c r="F12" s="17"/>
      <c r="G12" s="17">
        <v>6.0428358058536899E-2</v>
      </c>
      <c r="H12" s="17">
        <v>7.2430504497486406E-2</v>
      </c>
      <c r="I12" s="17">
        <v>6.3758652208751307E-2</v>
      </c>
      <c r="J12" s="17">
        <v>5.8550525681533898E-2</v>
      </c>
      <c r="K12" s="17">
        <v>7.20836642751599E-2</v>
      </c>
      <c r="L12" s="17">
        <v>9.0587204358279605E-2</v>
      </c>
      <c r="M12" s="17"/>
      <c r="N12" s="17">
        <v>5.9432397983615402E-2</v>
      </c>
      <c r="O12" s="17">
        <v>6.4176991268288006E-2</v>
      </c>
      <c r="P12" s="17">
        <v>5.2485627817650697E-2</v>
      </c>
      <c r="Q12" s="17">
        <v>0.101832238051343</v>
      </c>
      <c r="R12" s="17">
        <v>7.8351198358288299E-2</v>
      </c>
      <c r="S12" s="17">
        <v>4.3102113558702103E-2</v>
      </c>
      <c r="T12" s="17">
        <v>4.39604142694065E-2</v>
      </c>
      <c r="U12" s="17">
        <v>0.124623905383256</v>
      </c>
      <c r="V12" s="17">
        <v>5.2264066152954099E-2</v>
      </c>
      <c r="W12" s="17"/>
      <c r="X12" s="17">
        <v>6.6263865197167093E-2</v>
      </c>
      <c r="Y12" s="17">
        <v>7.5218914088132804E-2</v>
      </c>
    </row>
    <row r="13" spans="2:25" x14ac:dyDescent="0.35">
      <c r="B13" s="18" t="s">
        <v>89</v>
      </c>
      <c r="C13" s="17">
        <v>2.4852293939953699E-2</v>
      </c>
      <c r="D13" s="17">
        <v>2.3844999211381501E-2</v>
      </c>
      <c r="E13" s="17">
        <v>2.5652637472949599E-2</v>
      </c>
      <c r="F13" s="17"/>
      <c r="G13" s="17">
        <v>1.23573771365802E-2</v>
      </c>
      <c r="H13" s="17">
        <v>1.6004505566883501E-2</v>
      </c>
      <c r="I13" s="17">
        <v>1.7567840310518501E-2</v>
      </c>
      <c r="J13" s="17">
        <v>2.6330047769407599E-2</v>
      </c>
      <c r="K13" s="17">
        <v>2.65786994867887E-2</v>
      </c>
      <c r="L13" s="17">
        <v>3.7266451668917698E-2</v>
      </c>
      <c r="M13" s="17"/>
      <c r="N13" s="17">
        <v>2.2656682063594901E-2</v>
      </c>
      <c r="O13" s="17">
        <v>6.8288127932590897E-2</v>
      </c>
      <c r="P13" s="17">
        <v>1.0763656840057799E-2</v>
      </c>
      <c r="Q13" s="17">
        <v>4.3053982933791798E-2</v>
      </c>
      <c r="R13" s="17">
        <v>2.8026028039878002E-2</v>
      </c>
      <c r="S13" s="17">
        <v>8.28031442823602E-3</v>
      </c>
      <c r="T13" s="17">
        <v>1.8363434469421298E-2</v>
      </c>
      <c r="U13" s="17">
        <v>3.8906028558931299E-2</v>
      </c>
      <c r="V13" s="17">
        <v>8.9147879412427994E-3</v>
      </c>
      <c r="W13" s="17"/>
      <c r="X13" s="17">
        <v>1.5336196830223201E-2</v>
      </c>
      <c r="Y13" s="17">
        <v>3.0118183537698101E-2</v>
      </c>
    </row>
    <row r="14" spans="2:25" x14ac:dyDescent="0.35">
      <c r="B14" s="18" t="s">
        <v>224</v>
      </c>
      <c r="C14" s="17">
        <v>3.2056740069771598E-2</v>
      </c>
      <c r="D14" s="17">
        <v>2.5462334031552701E-2</v>
      </c>
      <c r="E14" s="17">
        <v>3.8392990018733697E-2</v>
      </c>
      <c r="F14" s="17"/>
      <c r="G14" s="17">
        <v>2.2595974292026599E-2</v>
      </c>
      <c r="H14" s="17">
        <v>2.8088832798643101E-2</v>
      </c>
      <c r="I14" s="17">
        <v>2.8197538623784001E-2</v>
      </c>
      <c r="J14" s="17">
        <v>4.2008635919673402E-2</v>
      </c>
      <c r="K14" s="17">
        <v>2.83525730234373E-2</v>
      </c>
      <c r="L14" s="17">
        <v>3.603950681774E-2</v>
      </c>
      <c r="M14" s="17"/>
      <c r="N14" s="17">
        <v>1.06961149011607E-2</v>
      </c>
      <c r="O14" s="17">
        <v>6.6906239706461404E-3</v>
      </c>
      <c r="P14" s="17">
        <v>2.30588953156683E-2</v>
      </c>
      <c r="Q14" s="17">
        <v>7.2672422266176304E-2</v>
      </c>
      <c r="R14" s="17">
        <v>2.6323445187277E-2</v>
      </c>
      <c r="S14" s="17">
        <v>2.4263724545963199E-2</v>
      </c>
      <c r="T14" s="17">
        <v>4.2162427796430701E-2</v>
      </c>
      <c r="U14" s="17">
        <v>1.5470870376175099E-2</v>
      </c>
      <c r="V14" s="17">
        <v>2.7237090957453199E-2</v>
      </c>
      <c r="W14" s="17"/>
      <c r="X14" s="17">
        <v>1.46894873833192E-2</v>
      </c>
      <c r="Y14" s="17">
        <v>4.1667196353311703E-2</v>
      </c>
    </row>
    <row r="15" spans="2:25" x14ac:dyDescent="0.35">
      <c r="B15" s="18" t="s">
        <v>90</v>
      </c>
      <c r="C15" s="21">
        <v>0.66281797812703303</v>
      </c>
      <c r="D15" s="21">
        <v>0.68021574598034196</v>
      </c>
      <c r="E15" s="21">
        <v>0.64709078432054601</v>
      </c>
      <c r="F15" s="21"/>
      <c r="G15" s="21">
        <v>0.68967629581521495</v>
      </c>
      <c r="H15" s="21">
        <v>0.68844468662054203</v>
      </c>
      <c r="I15" s="21">
        <v>0.68610408659840905</v>
      </c>
      <c r="J15" s="21">
        <v>0.67893725144601202</v>
      </c>
      <c r="K15" s="21">
        <v>0.653672431265649</v>
      </c>
      <c r="L15" s="21">
        <v>0.61771986639769505</v>
      </c>
      <c r="M15" s="21"/>
      <c r="N15" s="21">
        <v>0.77652927184182396</v>
      </c>
      <c r="O15" s="21">
        <v>0.79099851056278003</v>
      </c>
      <c r="P15" s="21">
        <v>0.72080879092521399</v>
      </c>
      <c r="Q15" s="21">
        <v>0.55132886104949996</v>
      </c>
      <c r="R15" s="21">
        <v>0.63888952373669206</v>
      </c>
      <c r="S15" s="21">
        <v>0.77543700911980695</v>
      </c>
      <c r="T15" s="21">
        <v>0.60272212056810204</v>
      </c>
      <c r="U15" s="21">
        <v>0.60450653352149197</v>
      </c>
      <c r="V15" s="21">
        <v>0.74676797201632406</v>
      </c>
      <c r="W15" s="21"/>
      <c r="X15" s="21">
        <v>0.72340822986529596</v>
      </c>
      <c r="Y15" s="21">
        <v>0.62928936101918698</v>
      </c>
    </row>
    <row r="16" spans="2:25" x14ac:dyDescent="0.35">
      <c r="B16" s="18" t="s">
        <v>91</v>
      </c>
      <c r="C16" s="21">
        <v>9.6881088882709201E-2</v>
      </c>
      <c r="D16" s="21">
        <v>9.3876025693312798E-2</v>
      </c>
      <c r="E16" s="21">
        <v>9.9303167446048293E-2</v>
      </c>
      <c r="F16" s="21"/>
      <c r="G16" s="21">
        <v>7.2785735195117093E-2</v>
      </c>
      <c r="H16" s="21">
        <v>8.8435010064369907E-2</v>
      </c>
      <c r="I16" s="21">
        <v>8.1326492519269794E-2</v>
      </c>
      <c r="J16" s="21">
        <v>8.4880573450941493E-2</v>
      </c>
      <c r="K16" s="21">
        <v>9.8662363761948604E-2</v>
      </c>
      <c r="L16" s="21">
        <v>0.127853656027197</v>
      </c>
      <c r="M16" s="21"/>
      <c r="N16" s="21">
        <v>8.20890800472103E-2</v>
      </c>
      <c r="O16" s="21">
        <v>0.132465119200879</v>
      </c>
      <c r="P16" s="21">
        <v>6.3249284657708502E-2</v>
      </c>
      <c r="Q16" s="21">
        <v>0.14488622098513501</v>
      </c>
      <c r="R16" s="21">
        <v>0.10637722639816601</v>
      </c>
      <c r="S16" s="21">
        <v>5.1382427986938102E-2</v>
      </c>
      <c r="T16" s="21">
        <v>6.2323848738827903E-2</v>
      </c>
      <c r="U16" s="21">
        <v>0.16352993394218701</v>
      </c>
      <c r="V16" s="21">
        <v>6.1178854094196898E-2</v>
      </c>
      <c r="W16" s="21"/>
      <c r="X16" s="21">
        <v>8.1600062027390299E-2</v>
      </c>
      <c r="Y16" s="21">
        <v>0.105337097625831</v>
      </c>
    </row>
    <row r="17" spans="2:25" x14ac:dyDescent="0.35">
      <c r="B17" s="18" t="s">
        <v>92</v>
      </c>
      <c r="C17" s="22">
        <v>0.56593688924432295</v>
      </c>
      <c r="D17" s="22">
        <v>0.58633972028702896</v>
      </c>
      <c r="E17" s="22">
        <v>0.54778761687449795</v>
      </c>
      <c r="F17" s="22"/>
      <c r="G17" s="22">
        <v>0.61689056062009795</v>
      </c>
      <c r="H17" s="22">
        <v>0.60000967655617199</v>
      </c>
      <c r="I17" s="22">
        <v>0.604777594079139</v>
      </c>
      <c r="J17" s="22">
        <v>0.59405667799507</v>
      </c>
      <c r="K17" s="22">
        <v>0.55501006750369997</v>
      </c>
      <c r="L17" s="22">
        <v>0.48986621037049799</v>
      </c>
      <c r="M17" s="22"/>
      <c r="N17" s="22">
        <v>0.69444019179461303</v>
      </c>
      <c r="O17" s="22">
        <v>0.65853339136190103</v>
      </c>
      <c r="P17" s="22">
        <v>0.65755950626750503</v>
      </c>
      <c r="Q17" s="22">
        <v>0.40644264006436598</v>
      </c>
      <c r="R17" s="22">
        <v>0.53251229733852601</v>
      </c>
      <c r="S17" s="22">
        <v>0.72405458113286902</v>
      </c>
      <c r="T17" s="22">
        <v>0.54039827182927402</v>
      </c>
      <c r="U17" s="22">
        <v>0.44097659957930502</v>
      </c>
      <c r="V17" s="22">
        <v>0.68558911792212796</v>
      </c>
      <c r="W17" s="22"/>
      <c r="X17" s="22">
        <v>0.64180816783790595</v>
      </c>
      <c r="Y17" s="22">
        <v>0.52395226339335599</v>
      </c>
    </row>
    <row r="18" spans="2:25" x14ac:dyDescent="0.35">
      <c r="B18" s="16"/>
    </row>
    <row r="19" spans="2:25" x14ac:dyDescent="0.35">
      <c r="B19" t="s">
        <v>51</v>
      </c>
    </row>
    <row r="20" spans="2:25" x14ac:dyDescent="0.35">
      <c r="B20" t="s">
        <v>52</v>
      </c>
    </row>
    <row r="22" spans="2:25" x14ac:dyDescent="0.35">
      <c r="B22" s="8" t="str">
        <f>HYPERLINK("#'Contents'!A1", "Return to Contents")</f>
        <v>Return to Contents</v>
      </c>
    </row>
  </sheetData>
  <mergeCells count="5">
    <mergeCell ref="D5:E5"/>
    <mergeCell ref="G5:L5"/>
    <mergeCell ref="N5:V5"/>
    <mergeCell ref="X5:Y5"/>
    <mergeCell ref="D2:W2"/>
  </mergeCells>
  <pageMargins left="0.7" right="0.7" top="0.75" bottom="0.75" header="0.3" footer="0.3"/>
  <pageSetup paperSize="9" orientation="portrait" horizontalDpi="300" verticalDpi="300"/>
  <drawing r:id="rId1"/>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000-000000000000}">
  <dimension ref="B2:K18"/>
  <sheetViews>
    <sheetView showGridLines="0" workbookViewId="0">
      <pane xSplit="2" topLeftCell="C1" activePane="topRight" state="frozen"/>
      <selection pane="topRight" activeCell="B12" sqref="B12"/>
    </sheetView>
  </sheetViews>
  <sheetFormatPr defaultColWidth="10.90625" defaultRowHeight="14.5" x14ac:dyDescent="0.35"/>
  <cols>
    <col min="2" max="2" width="25.7265625" customWidth="1"/>
    <col min="3" max="11" width="20.7265625" customWidth="1"/>
  </cols>
  <sheetData>
    <row r="2" spans="2:11" ht="40" customHeight="1" x14ac:dyDescent="0.35">
      <c r="D2" s="30" t="s">
        <v>401</v>
      </c>
      <c r="E2" s="26"/>
      <c r="F2" s="26"/>
      <c r="G2" s="26"/>
      <c r="H2" s="26"/>
      <c r="I2" s="26"/>
      <c r="J2" s="26"/>
      <c r="K2" s="26"/>
    </row>
    <row r="6" spans="2:11" ht="50" customHeight="1" x14ac:dyDescent="0.35">
      <c r="B6" s="20" t="s">
        <v>15</v>
      </c>
      <c r="C6" s="20" t="s">
        <v>388</v>
      </c>
      <c r="D6" s="20" t="s">
        <v>389</v>
      </c>
      <c r="E6" s="20" t="s">
        <v>390</v>
      </c>
      <c r="F6" s="20" t="s">
        <v>391</v>
      </c>
      <c r="G6" s="20" t="s">
        <v>392</v>
      </c>
      <c r="H6" s="20" t="s">
        <v>393</v>
      </c>
      <c r="I6" s="20" t="s">
        <v>394</v>
      </c>
      <c r="J6" s="20" t="s">
        <v>395</v>
      </c>
    </row>
    <row r="7" spans="2:11" x14ac:dyDescent="0.35">
      <c r="B7" s="18" t="s">
        <v>396</v>
      </c>
      <c r="C7" s="17">
        <v>0.53837936643541195</v>
      </c>
      <c r="D7" s="17">
        <v>0.51868089734052902</v>
      </c>
      <c r="E7" s="17">
        <v>0.60781874594351404</v>
      </c>
      <c r="F7" s="17">
        <v>0.55404570146288401</v>
      </c>
      <c r="G7" s="17">
        <v>0.51518616397546202</v>
      </c>
      <c r="H7" s="17">
        <v>0.59661256356888503</v>
      </c>
      <c r="I7" s="17">
        <v>0.57746286733693897</v>
      </c>
      <c r="J7" s="17">
        <v>0.43743989516495602</v>
      </c>
    </row>
    <row r="8" spans="2:11" x14ac:dyDescent="0.35">
      <c r="B8" s="18" t="s">
        <v>397</v>
      </c>
      <c r="C8" s="17">
        <v>0.36585007804133102</v>
      </c>
      <c r="D8" s="17">
        <v>0.34721825067788198</v>
      </c>
      <c r="E8" s="17">
        <v>0.31933503105500199</v>
      </c>
      <c r="F8" s="17">
        <v>0.32614436832414301</v>
      </c>
      <c r="G8" s="17">
        <v>0.37158811644658302</v>
      </c>
      <c r="H8" s="17">
        <v>0.32487281875096902</v>
      </c>
      <c r="I8" s="17">
        <v>0.33895096457398999</v>
      </c>
      <c r="J8" s="17">
        <v>0.36278465740572302</v>
      </c>
    </row>
    <row r="9" spans="2:11" x14ac:dyDescent="0.35">
      <c r="B9" s="18" t="s">
        <v>398</v>
      </c>
      <c r="C9" s="17">
        <v>7.42420969935461E-2</v>
      </c>
      <c r="D9" s="17">
        <v>9.1278884790094106E-2</v>
      </c>
      <c r="E9" s="17">
        <v>5.82094744905313E-2</v>
      </c>
      <c r="F9" s="17">
        <v>9.7647625214928604E-2</v>
      </c>
      <c r="G9" s="17">
        <v>9.4508760862239097E-2</v>
      </c>
      <c r="H9" s="17">
        <v>6.5279320468332305E-2</v>
      </c>
      <c r="I9" s="17">
        <v>6.2846157704211897E-2</v>
      </c>
      <c r="J9" s="17">
        <v>0.16449516912377399</v>
      </c>
    </row>
    <row r="10" spans="2:11" x14ac:dyDescent="0.35">
      <c r="B10" s="18" t="s">
        <v>399</v>
      </c>
      <c r="C10" s="17">
        <v>1.5608976339158901E-2</v>
      </c>
      <c r="D10" s="17">
        <v>3.52665830775599E-2</v>
      </c>
      <c r="E10" s="17">
        <v>9.9098186231577901E-3</v>
      </c>
      <c r="F10" s="17">
        <v>1.42297294507701E-2</v>
      </c>
      <c r="G10" s="17">
        <v>1.37983587829536E-2</v>
      </c>
      <c r="H10" s="17">
        <v>1.00989147949623E-2</v>
      </c>
      <c r="I10" s="17">
        <v>1.57200752098757E-2</v>
      </c>
      <c r="J10" s="17">
        <v>2.3383148887870499E-2</v>
      </c>
    </row>
    <row r="11" spans="2:11" x14ac:dyDescent="0.35">
      <c r="B11" s="18" t="s">
        <v>400</v>
      </c>
      <c r="C11" s="17">
        <v>5.9194821905525496E-3</v>
      </c>
      <c r="D11" s="17">
        <v>7.5553841139347697E-3</v>
      </c>
      <c r="E11" s="17">
        <v>4.7269298877938301E-3</v>
      </c>
      <c r="F11" s="17">
        <v>7.9325755472742301E-3</v>
      </c>
      <c r="G11" s="17">
        <v>4.9185999327622E-3</v>
      </c>
      <c r="H11" s="17">
        <v>3.13638241685098E-3</v>
      </c>
      <c r="I11" s="17">
        <v>5.0199351749834302E-3</v>
      </c>
      <c r="J11" s="17">
        <v>1.1897129417675701E-2</v>
      </c>
    </row>
    <row r="12" spans="2:11" x14ac:dyDescent="0.35">
      <c r="B12" s="16" t="s">
        <v>538</v>
      </c>
      <c r="C12" s="16"/>
      <c r="D12" s="16"/>
      <c r="E12" s="16"/>
      <c r="F12" s="16"/>
      <c r="G12" s="16"/>
      <c r="H12" s="16"/>
      <c r="I12" s="16"/>
      <c r="J12" s="16"/>
    </row>
    <row r="13" spans="2:11" x14ac:dyDescent="0.35">
      <c r="B13" t="s">
        <v>51</v>
      </c>
    </row>
    <row r="14" spans="2:11" x14ac:dyDescent="0.35">
      <c r="B14" t="s">
        <v>52</v>
      </c>
    </row>
    <row r="18" spans="2:2" x14ac:dyDescent="0.35">
      <c r="B18" s="8" t="str">
        <f>HYPERLINK("#'Contents'!A1", "Return to Contents")</f>
        <v>Return to Contents</v>
      </c>
    </row>
  </sheetData>
  <mergeCells count="1">
    <mergeCell ref="D2:K2"/>
  </mergeCells>
  <pageMargins left="0.7" right="0.7" top="0.75" bottom="0.75" header="0.3" footer="0.3"/>
  <pageSetup paperSize="9" orientation="portrait" horizontalDpi="300" verticalDpi="300"/>
  <drawing r:id="rId1"/>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100-000000000000}">
  <dimension ref="B2:Y18"/>
  <sheetViews>
    <sheetView showGridLines="0" workbookViewId="0">
      <pane xSplit="2" topLeftCell="C1" activePane="topRight" state="frozen"/>
      <selection pane="topRight" activeCell="B14" sqref="B14"/>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s>
  <sheetData>
    <row r="2" spans="2:25" ht="40" customHeight="1" x14ac:dyDescent="0.35">
      <c r="D2" s="30" t="s">
        <v>402</v>
      </c>
      <c r="E2" s="26"/>
      <c r="F2" s="26"/>
      <c r="G2" s="26"/>
      <c r="H2" s="26"/>
      <c r="I2" s="26"/>
      <c r="J2" s="26"/>
      <c r="K2" s="26"/>
      <c r="L2" s="26"/>
      <c r="M2" s="26"/>
      <c r="N2" s="26"/>
      <c r="O2" s="26"/>
      <c r="P2" s="26"/>
      <c r="Q2" s="26"/>
      <c r="R2" s="26"/>
      <c r="S2" s="26"/>
      <c r="T2" s="26"/>
      <c r="U2" s="26"/>
      <c r="V2" s="26"/>
      <c r="W2" s="26"/>
    </row>
    <row r="5" spans="2:25" ht="30" customHeight="1" x14ac:dyDescent="0.35">
      <c r="B5" s="15"/>
      <c r="C5" s="15"/>
      <c r="D5" s="29" t="s">
        <v>38</v>
      </c>
      <c r="E5" s="29"/>
      <c r="F5" s="15"/>
      <c r="G5" s="29" t="s">
        <v>39</v>
      </c>
      <c r="H5" s="29"/>
      <c r="I5" s="29"/>
      <c r="J5" s="29"/>
      <c r="K5" s="29"/>
      <c r="L5" s="29"/>
      <c r="M5" s="15"/>
      <c r="N5" s="29" t="s">
        <v>40</v>
      </c>
      <c r="O5" s="29"/>
      <c r="P5" s="29"/>
      <c r="Q5" s="29"/>
      <c r="R5" s="29"/>
      <c r="S5" s="29"/>
      <c r="T5" s="29"/>
      <c r="U5" s="29"/>
      <c r="V5" s="29"/>
      <c r="W5" s="15"/>
      <c r="X5" s="29" t="s">
        <v>41</v>
      </c>
      <c r="Y5" s="29"/>
    </row>
    <row r="6" spans="2:25" ht="29"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row>
    <row r="7" spans="2:25" ht="30" customHeight="1" x14ac:dyDescent="0.35">
      <c r="B7" s="10" t="s">
        <v>19</v>
      </c>
      <c r="C7" s="10">
        <v>3113</v>
      </c>
      <c r="D7" s="10">
        <v>1653</v>
      </c>
      <c r="E7" s="10">
        <v>1455</v>
      </c>
      <c r="F7" s="10"/>
      <c r="G7" s="10">
        <v>203</v>
      </c>
      <c r="H7" s="10">
        <v>486</v>
      </c>
      <c r="I7" s="10">
        <v>506</v>
      </c>
      <c r="J7" s="10">
        <v>582</v>
      </c>
      <c r="K7" s="10">
        <v>541</v>
      </c>
      <c r="L7" s="10">
        <v>795</v>
      </c>
      <c r="M7" s="10"/>
      <c r="N7" s="10">
        <v>83</v>
      </c>
      <c r="O7" s="10">
        <v>81</v>
      </c>
      <c r="P7" s="10">
        <v>552</v>
      </c>
      <c r="Q7" s="10">
        <v>251</v>
      </c>
      <c r="R7" s="10">
        <v>494</v>
      </c>
      <c r="S7" s="10">
        <v>442</v>
      </c>
      <c r="T7" s="10">
        <v>492</v>
      </c>
      <c r="U7" s="10">
        <v>501</v>
      </c>
      <c r="V7" s="10">
        <v>217</v>
      </c>
      <c r="W7" s="10"/>
      <c r="X7" s="10">
        <v>1486</v>
      </c>
      <c r="Y7" s="10">
        <v>1627</v>
      </c>
    </row>
    <row r="8" spans="2:25" ht="30" customHeight="1" x14ac:dyDescent="0.35">
      <c r="B8" s="11" t="s">
        <v>20</v>
      </c>
      <c r="C8" s="11">
        <v>3068</v>
      </c>
      <c r="D8" s="11">
        <v>1645</v>
      </c>
      <c r="E8" s="11">
        <v>1418</v>
      </c>
      <c r="F8" s="11"/>
      <c r="G8" s="11">
        <v>210</v>
      </c>
      <c r="H8" s="11">
        <v>452</v>
      </c>
      <c r="I8" s="11">
        <v>511</v>
      </c>
      <c r="J8" s="11">
        <v>553</v>
      </c>
      <c r="K8" s="11">
        <v>529</v>
      </c>
      <c r="L8" s="11">
        <v>813</v>
      </c>
      <c r="M8" s="11"/>
      <c r="N8" s="11">
        <v>83</v>
      </c>
      <c r="O8" s="11">
        <v>87</v>
      </c>
      <c r="P8" s="11">
        <v>544</v>
      </c>
      <c r="Q8" s="11">
        <v>249</v>
      </c>
      <c r="R8" s="11">
        <v>474</v>
      </c>
      <c r="S8" s="11">
        <v>444</v>
      </c>
      <c r="T8" s="11">
        <v>485</v>
      </c>
      <c r="U8" s="11">
        <v>482</v>
      </c>
      <c r="V8" s="11">
        <v>220</v>
      </c>
      <c r="W8" s="11"/>
      <c r="X8" s="11">
        <v>1347</v>
      </c>
      <c r="Y8" s="11">
        <v>1721</v>
      </c>
    </row>
    <row r="9" spans="2:25" x14ac:dyDescent="0.35">
      <c r="B9" s="18" t="s">
        <v>396</v>
      </c>
      <c r="C9" s="17">
        <v>0.53837936643541195</v>
      </c>
      <c r="D9" s="17">
        <v>0.54992273425995397</v>
      </c>
      <c r="E9" s="17">
        <v>0.52463956436812098</v>
      </c>
      <c r="F9" s="17"/>
      <c r="G9" s="17">
        <v>0.47234953273735902</v>
      </c>
      <c r="H9" s="17">
        <v>0.47617822251776798</v>
      </c>
      <c r="I9" s="17">
        <v>0.577884105351817</v>
      </c>
      <c r="J9" s="17">
        <v>0.53940292654876598</v>
      </c>
      <c r="K9" s="17">
        <v>0.53402992948280703</v>
      </c>
      <c r="L9" s="17">
        <v>0.56734533870257198</v>
      </c>
      <c r="M9" s="17"/>
      <c r="N9" s="17">
        <v>0.68062358626115904</v>
      </c>
      <c r="O9" s="17">
        <v>0.60909722156179102</v>
      </c>
      <c r="P9" s="17">
        <v>0.64425042078494199</v>
      </c>
      <c r="Q9" s="17">
        <v>0.31925028167883701</v>
      </c>
      <c r="R9" s="17">
        <v>0.55784261234490795</v>
      </c>
      <c r="S9" s="17">
        <v>0.50136233585983803</v>
      </c>
      <c r="T9" s="17">
        <v>0.46420284564108399</v>
      </c>
      <c r="U9" s="17">
        <v>0.57704486042323699</v>
      </c>
      <c r="V9" s="17">
        <v>0.55453403273893498</v>
      </c>
      <c r="W9" s="17"/>
      <c r="X9" s="17">
        <v>0.56707363856049298</v>
      </c>
      <c r="Y9" s="17">
        <v>0.51591119716849598</v>
      </c>
    </row>
    <row r="10" spans="2:25" x14ac:dyDescent="0.35">
      <c r="B10" s="18" t="s">
        <v>397</v>
      </c>
      <c r="C10" s="17">
        <v>0.36585007804133102</v>
      </c>
      <c r="D10" s="17">
        <v>0.35838833544403598</v>
      </c>
      <c r="E10" s="17">
        <v>0.37520803528916702</v>
      </c>
      <c r="F10" s="17"/>
      <c r="G10" s="17">
        <v>0.42013140872344701</v>
      </c>
      <c r="H10" s="17">
        <v>0.398622021862167</v>
      </c>
      <c r="I10" s="17">
        <v>0.34354022591654498</v>
      </c>
      <c r="J10" s="17">
        <v>0.368842934928794</v>
      </c>
      <c r="K10" s="17">
        <v>0.36026409742425403</v>
      </c>
      <c r="L10" s="17">
        <v>0.34920755343418403</v>
      </c>
      <c r="M10" s="17"/>
      <c r="N10" s="17">
        <v>0.250699652273287</v>
      </c>
      <c r="O10" s="17">
        <v>0.28559044922552002</v>
      </c>
      <c r="P10" s="17">
        <v>0.31406095730787997</v>
      </c>
      <c r="Q10" s="17">
        <v>0.44842035334965402</v>
      </c>
      <c r="R10" s="17">
        <v>0.38617293225857902</v>
      </c>
      <c r="S10" s="17">
        <v>0.39711079061930099</v>
      </c>
      <c r="T10" s="17">
        <v>0.40825593996303</v>
      </c>
      <c r="U10" s="17">
        <v>0.33201836440494797</v>
      </c>
      <c r="V10" s="17">
        <v>0.34947674900625503</v>
      </c>
      <c r="W10" s="17"/>
      <c r="X10" s="17">
        <v>0.35571028608570499</v>
      </c>
      <c r="Y10" s="17">
        <v>0.37378973097963197</v>
      </c>
    </row>
    <row r="11" spans="2:25" x14ac:dyDescent="0.35">
      <c r="B11" s="18" t="s">
        <v>398</v>
      </c>
      <c r="C11" s="17">
        <v>7.42420969935461E-2</v>
      </c>
      <c r="D11" s="17">
        <v>6.8124113870681902E-2</v>
      </c>
      <c r="E11" s="17">
        <v>8.16052562249759E-2</v>
      </c>
      <c r="F11" s="17"/>
      <c r="G11" s="17">
        <v>7.2767491627102901E-2</v>
      </c>
      <c r="H11" s="17">
        <v>9.8328766298473105E-2</v>
      </c>
      <c r="I11" s="17">
        <v>6.2000957532678001E-2</v>
      </c>
      <c r="J11" s="17">
        <v>6.8991256375107293E-2</v>
      </c>
      <c r="K11" s="17">
        <v>8.3883059746617097E-2</v>
      </c>
      <c r="L11" s="17">
        <v>6.6227163157789704E-2</v>
      </c>
      <c r="M11" s="17"/>
      <c r="N11" s="17">
        <v>6.8676761465554195E-2</v>
      </c>
      <c r="O11" s="17">
        <v>4.0979221451592898E-2</v>
      </c>
      <c r="P11" s="17">
        <v>2.9899146062369202E-2</v>
      </c>
      <c r="Q11" s="17">
        <v>0.186159023993308</v>
      </c>
      <c r="R11" s="17">
        <v>3.4191913055837297E-2</v>
      </c>
      <c r="S11" s="17">
        <v>8.6479063540647994E-2</v>
      </c>
      <c r="T11" s="17">
        <v>0.105526786691637</v>
      </c>
      <c r="U11" s="17">
        <v>7.2031447264661499E-2</v>
      </c>
      <c r="V11" s="17">
        <v>6.9896082655105607E-2</v>
      </c>
      <c r="W11" s="17"/>
      <c r="X11" s="17">
        <v>5.8463630579039097E-2</v>
      </c>
      <c r="Y11" s="17">
        <v>8.6596940936899305E-2</v>
      </c>
    </row>
    <row r="12" spans="2:25" x14ac:dyDescent="0.35">
      <c r="B12" s="18" t="s">
        <v>399</v>
      </c>
      <c r="C12" s="17">
        <v>1.5608976339158901E-2</v>
      </c>
      <c r="D12" s="17">
        <v>1.5717401100439E-2</v>
      </c>
      <c r="E12" s="17">
        <v>1.4842493666372599E-2</v>
      </c>
      <c r="F12" s="17"/>
      <c r="G12" s="17">
        <v>3.22249888478933E-2</v>
      </c>
      <c r="H12" s="17">
        <v>1.9404873128132001E-2</v>
      </c>
      <c r="I12" s="17">
        <v>1.24493023989511E-2</v>
      </c>
      <c r="J12" s="17">
        <v>1.8221281857279399E-2</v>
      </c>
      <c r="K12" s="17">
        <v>7.6569901971619697E-3</v>
      </c>
      <c r="L12" s="17">
        <v>1.45804301282643E-2</v>
      </c>
      <c r="M12" s="17"/>
      <c r="N12" s="17">
        <v>0</v>
      </c>
      <c r="O12" s="17">
        <v>9.8090611367651504E-3</v>
      </c>
      <c r="P12" s="17">
        <v>7.9825388924049494E-3</v>
      </c>
      <c r="Q12" s="17">
        <v>3.8209452352766002E-2</v>
      </c>
      <c r="R12" s="17">
        <v>1.55210332612894E-2</v>
      </c>
      <c r="S12" s="17">
        <v>1.03790589234267E-2</v>
      </c>
      <c r="T12" s="17">
        <v>1.9339357093576998E-2</v>
      </c>
      <c r="U12" s="17">
        <v>1.5086424019622799E-2</v>
      </c>
      <c r="V12" s="17">
        <v>2.0717901061630101E-2</v>
      </c>
      <c r="W12" s="17"/>
      <c r="X12" s="17">
        <v>1.5807088518353701E-2</v>
      </c>
      <c r="Y12" s="17">
        <v>1.54538506765673E-2</v>
      </c>
    </row>
    <row r="13" spans="2:25" x14ac:dyDescent="0.35">
      <c r="B13" s="18" t="s">
        <v>400</v>
      </c>
      <c r="C13" s="19">
        <v>5.9194821905525496E-3</v>
      </c>
      <c r="D13" s="19">
        <v>7.8474153248893896E-3</v>
      </c>
      <c r="E13" s="19">
        <v>3.7046504513635202E-3</v>
      </c>
      <c r="F13" s="19"/>
      <c r="G13" s="19">
        <v>2.5265780641972402E-3</v>
      </c>
      <c r="H13" s="19">
        <v>7.4661161934595401E-3</v>
      </c>
      <c r="I13" s="19">
        <v>4.1254088000097196E-3</v>
      </c>
      <c r="J13" s="19">
        <v>4.5416002900526197E-3</v>
      </c>
      <c r="K13" s="19">
        <v>1.41659231491602E-2</v>
      </c>
      <c r="L13" s="19">
        <v>2.6395145771892399E-3</v>
      </c>
      <c r="M13" s="19"/>
      <c r="N13" s="19">
        <v>0</v>
      </c>
      <c r="O13" s="19">
        <v>5.45240466243311E-2</v>
      </c>
      <c r="P13" s="19">
        <v>3.8069369524029802E-3</v>
      </c>
      <c r="Q13" s="19">
        <v>7.9608886254350607E-3</v>
      </c>
      <c r="R13" s="19">
        <v>6.2715090793864304E-3</v>
      </c>
      <c r="S13" s="19">
        <v>4.6687510567864398E-3</v>
      </c>
      <c r="T13" s="19">
        <v>2.67507061067246E-3</v>
      </c>
      <c r="U13" s="19">
        <v>3.8189038875310502E-3</v>
      </c>
      <c r="V13" s="19">
        <v>5.3752345380747597E-3</v>
      </c>
      <c r="W13" s="19"/>
      <c r="X13" s="19">
        <v>2.9453562564097299E-3</v>
      </c>
      <c r="Y13" s="19">
        <v>8.2482802384052992E-3</v>
      </c>
    </row>
    <row r="14" spans="2:25" x14ac:dyDescent="0.35">
      <c r="B14" s="16" t="s">
        <v>538</v>
      </c>
    </row>
    <row r="15" spans="2:25" x14ac:dyDescent="0.35">
      <c r="B15" t="s">
        <v>51</v>
      </c>
    </row>
    <row r="16" spans="2:25" x14ac:dyDescent="0.35">
      <c r="B16" t="s">
        <v>52</v>
      </c>
    </row>
    <row r="18" spans="2:2" x14ac:dyDescent="0.35">
      <c r="B18" s="8" t="str">
        <f>HYPERLINK("#'Contents'!A1", "Return to Contents")</f>
        <v>Return to Contents</v>
      </c>
    </row>
  </sheetData>
  <mergeCells count="5">
    <mergeCell ref="D5:E5"/>
    <mergeCell ref="G5:L5"/>
    <mergeCell ref="N5:V5"/>
    <mergeCell ref="X5:Y5"/>
    <mergeCell ref="D2:W2"/>
  </mergeCells>
  <pageMargins left="0.7" right="0.7" top="0.75" bottom="0.75" header="0.3" footer="0.3"/>
  <pageSetup paperSize="9" orientation="portrait" horizontalDpi="300" verticalDpi="300"/>
  <drawing r:id="rId1"/>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200-000000000000}">
  <dimension ref="B2:Y18"/>
  <sheetViews>
    <sheetView showGridLines="0" workbookViewId="0">
      <pane xSplit="2" topLeftCell="C1" activePane="topRight" state="frozen"/>
      <selection pane="topRight" activeCell="B14" sqref="B14"/>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s>
  <sheetData>
    <row r="2" spans="2:25" ht="40" customHeight="1" x14ac:dyDescent="0.35">
      <c r="D2" s="30" t="s">
        <v>403</v>
      </c>
      <c r="E2" s="26"/>
      <c r="F2" s="26"/>
      <c r="G2" s="26"/>
      <c r="H2" s="26"/>
      <c r="I2" s="26"/>
      <c r="J2" s="26"/>
      <c r="K2" s="26"/>
      <c r="L2" s="26"/>
      <c r="M2" s="26"/>
      <c r="N2" s="26"/>
      <c r="O2" s="26"/>
      <c r="P2" s="26"/>
      <c r="Q2" s="26"/>
      <c r="R2" s="26"/>
      <c r="S2" s="26"/>
      <c r="T2" s="26"/>
      <c r="U2" s="26"/>
      <c r="V2" s="26"/>
      <c r="W2" s="26"/>
    </row>
    <row r="5" spans="2:25" ht="30" customHeight="1" x14ac:dyDescent="0.35">
      <c r="B5" s="15"/>
      <c r="C5" s="15"/>
      <c r="D5" s="29" t="s">
        <v>38</v>
      </c>
      <c r="E5" s="29"/>
      <c r="F5" s="15"/>
      <c r="G5" s="29" t="s">
        <v>39</v>
      </c>
      <c r="H5" s="29"/>
      <c r="I5" s="29"/>
      <c r="J5" s="29"/>
      <c r="K5" s="29"/>
      <c r="L5" s="29"/>
      <c r="M5" s="15"/>
      <c r="N5" s="29" t="s">
        <v>40</v>
      </c>
      <c r="O5" s="29"/>
      <c r="P5" s="29"/>
      <c r="Q5" s="29"/>
      <c r="R5" s="29"/>
      <c r="S5" s="29"/>
      <c r="T5" s="29"/>
      <c r="U5" s="29"/>
      <c r="V5" s="29"/>
      <c r="W5" s="15"/>
      <c r="X5" s="29" t="s">
        <v>41</v>
      </c>
      <c r="Y5" s="29"/>
    </row>
    <row r="6" spans="2:25" ht="29"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row>
    <row r="7" spans="2:25" ht="30" customHeight="1" x14ac:dyDescent="0.35">
      <c r="B7" s="10" t="s">
        <v>19</v>
      </c>
      <c r="C7" s="10">
        <v>1433</v>
      </c>
      <c r="D7" s="10">
        <v>664</v>
      </c>
      <c r="E7" s="10">
        <v>766</v>
      </c>
      <c r="F7" s="10"/>
      <c r="G7" s="10">
        <v>158</v>
      </c>
      <c r="H7" s="10">
        <v>305</v>
      </c>
      <c r="I7" s="10">
        <v>298</v>
      </c>
      <c r="J7" s="10">
        <v>293</v>
      </c>
      <c r="K7" s="10">
        <v>204</v>
      </c>
      <c r="L7" s="10">
        <v>175</v>
      </c>
      <c r="M7" s="10"/>
      <c r="N7" s="10">
        <v>59</v>
      </c>
      <c r="O7" s="10">
        <v>116</v>
      </c>
      <c r="P7" s="10">
        <v>207</v>
      </c>
      <c r="Q7" s="10">
        <v>135</v>
      </c>
      <c r="R7" s="10">
        <v>125</v>
      </c>
      <c r="S7" s="10">
        <v>106</v>
      </c>
      <c r="T7" s="10">
        <v>361</v>
      </c>
      <c r="U7" s="10">
        <v>245</v>
      </c>
      <c r="V7" s="10">
        <v>79</v>
      </c>
      <c r="W7" s="10"/>
      <c r="X7" s="10">
        <v>588</v>
      </c>
      <c r="Y7" s="10">
        <v>845</v>
      </c>
    </row>
    <row r="8" spans="2:25" ht="30" customHeight="1" x14ac:dyDescent="0.35">
      <c r="B8" s="11" t="s">
        <v>20</v>
      </c>
      <c r="C8" s="11">
        <v>1409</v>
      </c>
      <c r="D8" s="11">
        <v>670</v>
      </c>
      <c r="E8" s="11">
        <v>736</v>
      </c>
      <c r="F8" s="11"/>
      <c r="G8" s="11">
        <v>156</v>
      </c>
      <c r="H8" s="11">
        <v>285</v>
      </c>
      <c r="I8" s="11">
        <v>292</v>
      </c>
      <c r="J8" s="11">
        <v>287</v>
      </c>
      <c r="K8" s="11">
        <v>202</v>
      </c>
      <c r="L8" s="11">
        <v>186</v>
      </c>
      <c r="M8" s="11"/>
      <c r="N8" s="11">
        <v>60</v>
      </c>
      <c r="O8" s="11">
        <v>104</v>
      </c>
      <c r="P8" s="11">
        <v>207</v>
      </c>
      <c r="Q8" s="11">
        <v>137</v>
      </c>
      <c r="R8" s="11">
        <v>116</v>
      </c>
      <c r="S8" s="11">
        <v>113</v>
      </c>
      <c r="T8" s="11">
        <v>351</v>
      </c>
      <c r="U8" s="11">
        <v>243</v>
      </c>
      <c r="V8" s="11">
        <v>79</v>
      </c>
      <c r="W8" s="11"/>
      <c r="X8" s="11">
        <v>532</v>
      </c>
      <c r="Y8" s="11">
        <v>877</v>
      </c>
    </row>
    <row r="9" spans="2:25" x14ac:dyDescent="0.35">
      <c r="B9" s="18" t="s">
        <v>396</v>
      </c>
      <c r="C9" s="17">
        <v>0.51868089734052902</v>
      </c>
      <c r="D9" s="17">
        <v>0.50987169926687304</v>
      </c>
      <c r="E9" s="17">
        <v>0.52875111551768195</v>
      </c>
      <c r="F9" s="17"/>
      <c r="G9" s="17">
        <v>0.423816594432122</v>
      </c>
      <c r="H9" s="17">
        <v>0.515949159701519</v>
      </c>
      <c r="I9" s="17">
        <v>0.53957545679854801</v>
      </c>
      <c r="J9" s="17">
        <v>0.560311939887428</v>
      </c>
      <c r="K9" s="17">
        <v>0.55469302217352401</v>
      </c>
      <c r="L9" s="17">
        <v>0.466186142649126</v>
      </c>
      <c r="M9" s="17"/>
      <c r="N9" s="17">
        <v>0.43406450564064802</v>
      </c>
      <c r="O9" s="17">
        <v>0.71535796862500001</v>
      </c>
      <c r="P9" s="17">
        <v>0.62256607077831005</v>
      </c>
      <c r="Q9" s="17">
        <v>0.30858097832008202</v>
      </c>
      <c r="R9" s="17">
        <v>0.52047377644252901</v>
      </c>
      <c r="S9" s="17">
        <v>0.546042110741491</v>
      </c>
      <c r="T9" s="17">
        <v>0.48223340822518801</v>
      </c>
      <c r="U9" s="17">
        <v>0.55445235765068401</v>
      </c>
      <c r="V9" s="17">
        <v>0.42447941114621901</v>
      </c>
      <c r="W9" s="17"/>
      <c r="X9" s="17">
        <v>0.53867731933699003</v>
      </c>
      <c r="Y9" s="17">
        <v>0.50655938290561098</v>
      </c>
    </row>
    <row r="10" spans="2:25" x14ac:dyDescent="0.35">
      <c r="B10" s="18" t="s">
        <v>397</v>
      </c>
      <c r="C10" s="17">
        <v>0.34721825067788198</v>
      </c>
      <c r="D10" s="17">
        <v>0.36169746222742299</v>
      </c>
      <c r="E10" s="17">
        <v>0.334230482231407</v>
      </c>
      <c r="F10" s="17"/>
      <c r="G10" s="17">
        <v>0.34181509200341698</v>
      </c>
      <c r="H10" s="17">
        <v>0.33295938269513298</v>
      </c>
      <c r="I10" s="17">
        <v>0.359697537857876</v>
      </c>
      <c r="J10" s="17">
        <v>0.31790440861008601</v>
      </c>
      <c r="K10" s="17">
        <v>0.36192632737564301</v>
      </c>
      <c r="L10" s="17">
        <v>0.383301871756273</v>
      </c>
      <c r="M10" s="17"/>
      <c r="N10" s="17">
        <v>0.30522509179352297</v>
      </c>
      <c r="O10" s="17">
        <v>0.27152903493617297</v>
      </c>
      <c r="P10" s="17">
        <v>0.28329766221876002</v>
      </c>
      <c r="Q10" s="17">
        <v>0.46194579191561702</v>
      </c>
      <c r="R10" s="17">
        <v>0.413005812479254</v>
      </c>
      <c r="S10" s="17">
        <v>0.29178557902397001</v>
      </c>
      <c r="T10" s="17">
        <v>0.402889731798863</v>
      </c>
      <c r="U10" s="17">
        <v>0.30919421754383197</v>
      </c>
      <c r="V10" s="17">
        <v>0.29928579488312002</v>
      </c>
      <c r="W10" s="17"/>
      <c r="X10" s="17">
        <v>0.32659378556438501</v>
      </c>
      <c r="Y10" s="17">
        <v>0.35972047490729497</v>
      </c>
    </row>
    <row r="11" spans="2:25" x14ac:dyDescent="0.35">
      <c r="B11" s="18" t="s">
        <v>398</v>
      </c>
      <c r="C11" s="17">
        <v>9.1278884790094106E-2</v>
      </c>
      <c r="D11" s="17">
        <v>9.5082446476521101E-2</v>
      </c>
      <c r="E11" s="17">
        <v>8.6627773869822303E-2</v>
      </c>
      <c r="F11" s="17"/>
      <c r="G11" s="17">
        <v>0.16438520020872199</v>
      </c>
      <c r="H11" s="17">
        <v>0.105311020780678</v>
      </c>
      <c r="I11" s="17">
        <v>7.9210126697031896E-2</v>
      </c>
      <c r="J11" s="17">
        <v>5.86698675843818E-2</v>
      </c>
      <c r="K11" s="17">
        <v>6.1710282102629799E-2</v>
      </c>
      <c r="L11" s="17">
        <v>0.109898992914833</v>
      </c>
      <c r="M11" s="17"/>
      <c r="N11" s="17">
        <v>0.164844362958107</v>
      </c>
      <c r="O11" s="17">
        <v>1.31129964388274E-2</v>
      </c>
      <c r="P11" s="17">
        <v>6.35519766545527E-2</v>
      </c>
      <c r="Q11" s="17">
        <v>0.11329391477344999</v>
      </c>
      <c r="R11" s="17">
        <v>2.77386131553542E-2</v>
      </c>
      <c r="S11" s="17">
        <v>0.12716669374584399</v>
      </c>
      <c r="T11" s="17">
        <v>0.102306431755086</v>
      </c>
      <c r="U11" s="17">
        <v>8.9226134665917695E-2</v>
      </c>
      <c r="V11" s="17">
        <v>0.17343511686663901</v>
      </c>
      <c r="W11" s="17"/>
      <c r="X11" s="17">
        <v>0.107893858787815</v>
      </c>
      <c r="Y11" s="17">
        <v>8.1207150597606206E-2</v>
      </c>
    </row>
    <row r="12" spans="2:25" x14ac:dyDescent="0.35">
      <c r="B12" s="18" t="s">
        <v>399</v>
      </c>
      <c r="C12" s="17">
        <v>3.52665830775599E-2</v>
      </c>
      <c r="D12" s="17">
        <v>2.7382120532979799E-2</v>
      </c>
      <c r="E12" s="17">
        <v>4.25829664596011E-2</v>
      </c>
      <c r="F12" s="17"/>
      <c r="G12" s="17">
        <v>6.4212134541212301E-2</v>
      </c>
      <c r="H12" s="17">
        <v>3.7543775117583701E-2</v>
      </c>
      <c r="I12" s="17">
        <v>2.0008038166281002E-2</v>
      </c>
      <c r="J12" s="17">
        <v>4.7279395041551299E-2</v>
      </c>
      <c r="K12" s="17">
        <v>1.3701590829960799E-2</v>
      </c>
      <c r="L12" s="17">
        <v>3.6350991545380101E-2</v>
      </c>
      <c r="M12" s="17"/>
      <c r="N12" s="17">
        <v>6.1333699131112897E-2</v>
      </c>
      <c r="O12" s="17">
        <v>0</v>
      </c>
      <c r="P12" s="17">
        <v>2.5261806953652301E-2</v>
      </c>
      <c r="Q12" s="17">
        <v>9.70535416027829E-2</v>
      </c>
      <c r="R12" s="17">
        <v>2.2362693613782299E-2</v>
      </c>
      <c r="S12" s="17">
        <v>3.5005616488695303E-2</v>
      </c>
      <c r="T12" s="17">
        <v>8.1037807327873496E-3</v>
      </c>
      <c r="U12" s="17">
        <v>4.1409061765933099E-2</v>
      </c>
      <c r="V12" s="17">
        <v>0.10279967710402201</v>
      </c>
      <c r="W12" s="17"/>
      <c r="X12" s="17">
        <v>2.2147177900328101E-2</v>
      </c>
      <c r="Y12" s="17">
        <v>4.3219358792210699E-2</v>
      </c>
    </row>
    <row r="13" spans="2:25" x14ac:dyDescent="0.35">
      <c r="B13" s="18" t="s">
        <v>400</v>
      </c>
      <c r="C13" s="19">
        <v>7.5553841139347697E-3</v>
      </c>
      <c r="D13" s="19">
        <v>5.9662714962030001E-3</v>
      </c>
      <c r="E13" s="19">
        <v>7.8076619214880599E-3</v>
      </c>
      <c r="F13" s="19"/>
      <c r="G13" s="19">
        <v>5.7709788145257597E-3</v>
      </c>
      <c r="H13" s="19">
        <v>8.2366617050860496E-3</v>
      </c>
      <c r="I13" s="19">
        <v>1.50884048026316E-3</v>
      </c>
      <c r="J13" s="19">
        <v>1.5834388876553401E-2</v>
      </c>
      <c r="K13" s="19">
        <v>7.9687775182422406E-3</v>
      </c>
      <c r="L13" s="19">
        <v>4.2620011343875702E-3</v>
      </c>
      <c r="M13" s="19"/>
      <c r="N13" s="19">
        <v>3.4532340476609302E-2</v>
      </c>
      <c r="O13" s="19">
        <v>0</v>
      </c>
      <c r="P13" s="19">
        <v>5.3224833947251296E-3</v>
      </c>
      <c r="Q13" s="19">
        <v>1.9125773388068201E-2</v>
      </c>
      <c r="R13" s="19">
        <v>1.6419104309080199E-2</v>
      </c>
      <c r="S13" s="19">
        <v>0</v>
      </c>
      <c r="T13" s="19">
        <v>4.4666474880761999E-3</v>
      </c>
      <c r="U13" s="19">
        <v>5.7182283736330903E-3</v>
      </c>
      <c r="V13" s="19">
        <v>0</v>
      </c>
      <c r="W13" s="19"/>
      <c r="X13" s="19">
        <v>4.6878584104821999E-3</v>
      </c>
      <c r="Y13" s="19">
        <v>9.2936327972768708E-3</v>
      </c>
    </row>
    <row r="14" spans="2:25" x14ac:dyDescent="0.35">
      <c r="B14" s="16" t="s">
        <v>538</v>
      </c>
    </row>
    <row r="15" spans="2:25" x14ac:dyDescent="0.35">
      <c r="B15" t="s">
        <v>51</v>
      </c>
    </row>
    <row r="16" spans="2:25" x14ac:dyDescent="0.35">
      <c r="B16" t="s">
        <v>52</v>
      </c>
    </row>
    <row r="18" spans="2:2" x14ac:dyDescent="0.35">
      <c r="B18" s="8" t="str">
        <f>HYPERLINK("#'Contents'!A1", "Return to Contents")</f>
        <v>Return to Contents</v>
      </c>
    </row>
  </sheetData>
  <mergeCells count="5">
    <mergeCell ref="D5:E5"/>
    <mergeCell ref="G5:L5"/>
    <mergeCell ref="N5:V5"/>
    <mergeCell ref="X5:Y5"/>
    <mergeCell ref="D2:W2"/>
  </mergeCells>
  <pageMargins left="0.7" right="0.7" top="0.75" bottom="0.75" header="0.3" footer="0.3"/>
  <pageSetup paperSize="9" orientation="portrait" horizontalDpi="300" verticalDpi="300"/>
  <drawing r:id="rId1"/>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300-000000000000}">
  <dimension ref="B2:Y18"/>
  <sheetViews>
    <sheetView showGridLines="0" workbookViewId="0">
      <pane xSplit="2" topLeftCell="C1" activePane="topRight" state="frozen"/>
      <selection pane="topRight" activeCell="B14" sqref="B14"/>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s>
  <sheetData>
    <row r="2" spans="2:25" ht="40" customHeight="1" x14ac:dyDescent="0.35">
      <c r="D2" s="30" t="s">
        <v>404</v>
      </c>
      <c r="E2" s="26"/>
      <c r="F2" s="26"/>
      <c r="G2" s="26"/>
      <c r="H2" s="26"/>
      <c r="I2" s="26"/>
      <c r="J2" s="26"/>
      <c r="K2" s="26"/>
      <c r="L2" s="26"/>
      <c r="M2" s="26"/>
      <c r="N2" s="26"/>
      <c r="O2" s="26"/>
      <c r="P2" s="26"/>
      <c r="Q2" s="26"/>
      <c r="R2" s="26"/>
      <c r="S2" s="26"/>
      <c r="T2" s="26"/>
      <c r="U2" s="26"/>
      <c r="V2" s="26"/>
      <c r="W2" s="26"/>
    </row>
    <row r="5" spans="2:25" ht="30" customHeight="1" x14ac:dyDescent="0.35">
      <c r="B5" s="15"/>
      <c r="C5" s="15"/>
      <c r="D5" s="29" t="s">
        <v>38</v>
      </c>
      <c r="E5" s="29"/>
      <c r="F5" s="15"/>
      <c r="G5" s="29" t="s">
        <v>39</v>
      </c>
      <c r="H5" s="29"/>
      <c r="I5" s="29"/>
      <c r="J5" s="29"/>
      <c r="K5" s="29"/>
      <c r="L5" s="29"/>
      <c r="M5" s="15"/>
      <c r="N5" s="29" t="s">
        <v>40</v>
      </c>
      <c r="O5" s="29"/>
      <c r="P5" s="29"/>
      <c r="Q5" s="29"/>
      <c r="R5" s="29"/>
      <c r="S5" s="29"/>
      <c r="T5" s="29"/>
      <c r="U5" s="29"/>
      <c r="V5" s="29"/>
      <c r="W5" s="15"/>
      <c r="X5" s="29" t="s">
        <v>41</v>
      </c>
      <c r="Y5" s="29"/>
    </row>
    <row r="6" spans="2:25" ht="29"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row>
    <row r="7" spans="2:25" ht="30" customHeight="1" x14ac:dyDescent="0.35">
      <c r="B7" s="10" t="s">
        <v>19</v>
      </c>
      <c r="C7" s="10">
        <v>3725</v>
      </c>
      <c r="D7" s="10">
        <v>1703</v>
      </c>
      <c r="E7" s="10">
        <v>2016</v>
      </c>
      <c r="F7" s="10"/>
      <c r="G7" s="10">
        <v>337</v>
      </c>
      <c r="H7" s="10">
        <v>598</v>
      </c>
      <c r="I7" s="10">
        <v>599</v>
      </c>
      <c r="J7" s="10">
        <v>653</v>
      </c>
      <c r="K7" s="10">
        <v>653</v>
      </c>
      <c r="L7" s="10">
        <v>885</v>
      </c>
      <c r="M7" s="10"/>
      <c r="N7" s="10">
        <v>121</v>
      </c>
      <c r="O7" s="10">
        <v>142</v>
      </c>
      <c r="P7" s="10">
        <v>637</v>
      </c>
      <c r="Q7" s="10">
        <v>387</v>
      </c>
      <c r="R7" s="10">
        <v>481</v>
      </c>
      <c r="S7" s="10">
        <v>412</v>
      </c>
      <c r="T7" s="10">
        <v>563</v>
      </c>
      <c r="U7" s="10">
        <v>712</v>
      </c>
      <c r="V7" s="10">
        <v>270</v>
      </c>
      <c r="W7" s="10"/>
      <c r="X7" s="10">
        <v>1604</v>
      </c>
      <c r="Y7" s="10">
        <v>2121</v>
      </c>
    </row>
    <row r="8" spans="2:25" ht="30" customHeight="1" x14ac:dyDescent="0.35">
      <c r="B8" s="11" t="s">
        <v>20</v>
      </c>
      <c r="C8" s="11">
        <v>3695</v>
      </c>
      <c r="D8" s="11">
        <v>1703</v>
      </c>
      <c r="E8" s="11">
        <v>1986</v>
      </c>
      <c r="F8" s="11"/>
      <c r="G8" s="11">
        <v>335</v>
      </c>
      <c r="H8" s="11">
        <v>554</v>
      </c>
      <c r="I8" s="11">
        <v>607</v>
      </c>
      <c r="J8" s="11">
        <v>630</v>
      </c>
      <c r="K8" s="11">
        <v>641</v>
      </c>
      <c r="L8" s="11">
        <v>928</v>
      </c>
      <c r="M8" s="11"/>
      <c r="N8" s="11">
        <v>122</v>
      </c>
      <c r="O8" s="11">
        <v>136</v>
      </c>
      <c r="P8" s="11">
        <v>631</v>
      </c>
      <c r="Q8" s="11">
        <v>389</v>
      </c>
      <c r="R8" s="11">
        <v>467</v>
      </c>
      <c r="S8" s="11">
        <v>413</v>
      </c>
      <c r="T8" s="11">
        <v>558</v>
      </c>
      <c r="U8" s="11">
        <v>706</v>
      </c>
      <c r="V8" s="11">
        <v>273</v>
      </c>
      <c r="W8" s="11"/>
      <c r="X8" s="11">
        <v>1456</v>
      </c>
      <c r="Y8" s="11">
        <v>2239</v>
      </c>
    </row>
    <row r="9" spans="2:25" x14ac:dyDescent="0.35">
      <c r="B9" s="18" t="s">
        <v>396</v>
      </c>
      <c r="C9" s="17">
        <v>0.60781874594351404</v>
      </c>
      <c r="D9" s="17">
        <v>0.58411679154104901</v>
      </c>
      <c r="E9" s="17">
        <v>0.62743041769545405</v>
      </c>
      <c r="F9" s="17"/>
      <c r="G9" s="17">
        <v>0.57764544746325197</v>
      </c>
      <c r="H9" s="17">
        <v>0.51792512229542798</v>
      </c>
      <c r="I9" s="17">
        <v>0.61701340256942205</v>
      </c>
      <c r="J9" s="17">
        <v>0.63216979450687805</v>
      </c>
      <c r="K9" s="17">
        <v>0.60693259895566298</v>
      </c>
      <c r="L9" s="17">
        <v>0.65050316357121496</v>
      </c>
      <c r="M9" s="17"/>
      <c r="N9" s="17">
        <v>0.72141608691506198</v>
      </c>
      <c r="O9" s="17">
        <v>0.73648044133009505</v>
      </c>
      <c r="P9" s="17">
        <v>0.65688725120015201</v>
      </c>
      <c r="Q9" s="17">
        <v>0.53459522557860994</v>
      </c>
      <c r="R9" s="17">
        <v>0.61258966228076095</v>
      </c>
      <c r="S9" s="17">
        <v>0.54468497733050503</v>
      </c>
      <c r="T9" s="17">
        <v>0.46977740280045099</v>
      </c>
      <c r="U9" s="17">
        <v>0.71367236537749201</v>
      </c>
      <c r="V9" s="17">
        <v>0.57957575751828905</v>
      </c>
      <c r="W9" s="17"/>
      <c r="X9" s="17">
        <v>0.61711427969604504</v>
      </c>
      <c r="Y9" s="17">
        <v>0.60177236374836895</v>
      </c>
    </row>
    <row r="10" spans="2:25" x14ac:dyDescent="0.35">
      <c r="B10" s="18" t="s">
        <v>397</v>
      </c>
      <c r="C10" s="17">
        <v>0.31933503105500199</v>
      </c>
      <c r="D10" s="17">
        <v>0.34761485378859902</v>
      </c>
      <c r="E10" s="17">
        <v>0.29602214512780101</v>
      </c>
      <c r="F10" s="17"/>
      <c r="G10" s="17">
        <v>0.31302622744537401</v>
      </c>
      <c r="H10" s="17">
        <v>0.38253656439381101</v>
      </c>
      <c r="I10" s="17">
        <v>0.30423467095568302</v>
      </c>
      <c r="J10" s="17">
        <v>0.29356251691509</v>
      </c>
      <c r="K10" s="17">
        <v>0.33048308573757301</v>
      </c>
      <c r="L10" s="17">
        <v>0.30351467901533102</v>
      </c>
      <c r="M10" s="17"/>
      <c r="N10" s="17">
        <v>0.23583632762526299</v>
      </c>
      <c r="O10" s="17">
        <v>0.24631515695711001</v>
      </c>
      <c r="P10" s="17">
        <v>0.28452765197928298</v>
      </c>
      <c r="Q10" s="17">
        <v>0.35411146077060601</v>
      </c>
      <c r="R10" s="17">
        <v>0.337890857454551</v>
      </c>
      <c r="S10" s="17">
        <v>0.359228877948498</v>
      </c>
      <c r="T10" s="17">
        <v>0.418367771802379</v>
      </c>
      <c r="U10" s="17">
        <v>0.23597419991190499</v>
      </c>
      <c r="V10" s="17">
        <v>0.34504226143096201</v>
      </c>
      <c r="W10" s="17"/>
      <c r="X10" s="17">
        <v>0.31570549923774599</v>
      </c>
      <c r="Y10" s="17">
        <v>0.321695899956221</v>
      </c>
    </row>
    <row r="11" spans="2:25" x14ac:dyDescent="0.35">
      <c r="B11" s="18" t="s">
        <v>398</v>
      </c>
      <c r="C11" s="17">
        <v>5.82094744905313E-2</v>
      </c>
      <c r="D11" s="17">
        <v>5.5930240127066197E-2</v>
      </c>
      <c r="E11" s="17">
        <v>6.0334497445108402E-2</v>
      </c>
      <c r="F11" s="17"/>
      <c r="G11" s="17">
        <v>8.4104996515016198E-2</v>
      </c>
      <c r="H11" s="17">
        <v>8.1086361204179697E-2</v>
      </c>
      <c r="I11" s="17">
        <v>6.6855427230141706E-2</v>
      </c>
      <c r="J11" s="17">
        <v>6.4482707372684606E-2</v>
      </c>
      <c r="K11" s="17">
        <v>4.5248264293853403E-2</v>
      </c>
      <c r="L11" s="17">
        <v>3.4226466816822301E-2</v>
      </c>
      <c r="M11" s="17"/>
      <c r="N11" s="17">
        <v>1.8332789940451399E-2</v>
      </c>
      <c r="O11" s="17">
        <v>1.0888169466793701E-2</v>
      </c>
      <c r="P11" s="17">
        <v>4.9302170362486498E-2</v>
      </c>
      <c r="Q11" s="17">
        <v>8.2484034504626894E-2</v>
      </c>
      <c r="R11" s="17">
        <v>3.7867199336660599E-2</v>
      </c>
      <c r="S11" s="17">
        <v>8.3480007495794206E-2</v>
      </c>
      <c r="T11" s="17">
        <v>9.20314113386973E-2</v>
      </c>
      <c r="U11" s="17">
        <v>4.14728747082386E-2</v>
      </c>
      <c r="V11" s="17">
        <v>5.6336749616049397E-2</v>
      </c>
      <c r="W11" s="17"/>
      <c r="X11" s="17">
        <v>5.3455424187800901E-2</v>
      </c>
      <c r="Y11" s="17">
        <v>6.1301798812137001E-2</v>
      </c>
    </row>
    <row r="12" spans="2:25" x14ac:dyDescent="0.35">
      <c r="B12" s="18" t="s">
        <v>399</v>
      </c>
      <c r="C12" s="17">
        <v>9.9098186231577901E-3</v>
      </c>
      <c r="D12" s="17">
        <v>7.82980129708764E-3</v>
      </c>
      <c r="E12" s="17">
        <v>1.1284695123419E-2</v>
      </c>
      <c r="F12" s="17"/>
      <c r="G12" s="17">
        <v>2.2744452504441699E-2</v>
      </c>
      <c r="H12" s="17">
        <v>1.2935036644904601E-2</v>
      </c>
      <c r="I12" s="17">
        <v>7.2727004855283502E-3</v>
      </c>
      <c r="J12" s="17">
        <v>4.72802711981931E-3</v>
      </c>
      <c r="K12" s="17">
        <v>8.3988696797041608E-3</v>
      </c>
      <c r="L12" s="17">
        <v>9.7573367793490299E-3</v>
      </c>
      <c r="M12" s="17"/>
      <c r="N12" s="17">
        <v>7.5409753547168897E-3</v>
      </c>
      <c r="O12" s="17">
        <v>6.3162322460016303E-3</v>
      </c>
      <c r="P12" s="17">
        <v>5.9070149408632601E-3</v>
      </c>
      <c r="Q12" s="17">
        <v>1.9108117550164901E-2</v>
      </c>
      <c r="R12" s="17">
        <v>9.7407880060540308E-3</v>
      </c>
      <c r="S12" s="17">
        <v>9.7090126733336904E-3</v>
      </c>
      <c r="T12" s="17">
        <v>1.4994147822304999E-2</v>
      </c>
      <c r="U12" s="17">
        <v>6.8228919834890803E-3</v>
      </c>
      <c r="V12" s="17">
        <v>7.0913358165359897E-3</v>
      </c>
      <c r="W12" s="17"/>
      <c r="X12" s="17">
        <v>9.1297615054466309E-3</v>
      </c>
      <c r="Y12" s="17">
        <v>1.0417215357255099E-2</v>
      </c>
    </row>
    <row r="13" spans="2:25" x14ac:dyDescent="0.35">
      <c r="B13" s="18" t="s">
        <v>400</v>
      </c>
      <c r="C13" s="19">
        <v>4.7269298877938301E-3</v>
      </c>
      <c r="D13" s="19">
        <v>4.5083132461978901E-3</v>
      </c>
      <c r="E13" s="19">
        <v>4.9282446082174799E-3</v>
      </c>
      <c r="F13" s="19"/>
      <c r="G13" s="19">
        <v>2.4788760719163801E-3</v>
      </c>
      <c r="H13" s="19">
        <v>5.5169154616772397E-3</v>
      </c>
      <c r="I13" s="19">
        <v>4.6237987592243303E-3</v>
      </c>
      <c r="J13" s="19">
        <v>5.0569540855276698E-3</v>
      </c>
      <c r="K13" s="19">
        <v>8.9371813332069592E-3</v>
      </c>
      <c r="L13" s="19">
        <v>1.9983538172831002E-3</v>
      </c>
      <c r="M13" s="19"/>
      <c r="N13" s="19">
        <v>1.6873820164506299E-2</v>
      </c>
      <c r="O13" s="19">
        <v>0</v>
      </c>
      <c r="P13" s="19">
        <v>3.37591151721522E-3</v>
      </c>
      <c r="Q13" s="19">
        <v>9.7011615959930707E-3</v>
      </c>
      <c r="R13" s="19">
        <v>1.91149292197334E-3</v>
      </c>
      <c r="S13" s="19">
        <v>2.8971245518698801E-3</v>
      </c>
      <c r="T13" s="19">
        <v>4.8292662361675296E-3</v>
      </c>
      <c r="U13" s="19">
        <v>2.0576680188757802E-3</v>
      </c>
      <c r="V13" s="19">
        <v>1.19538956181635E-2</v>
      </c>
      <c r="W13" s="19"/>
      <c r="X13" s="19">
        <v>4.5950353729617898E-3</v>
      </c>
      <c r="Y13" s="19">
        <v>4.812722126018E-3</v>
      </c>
    </row>
    <row r="14" spans="2:25" x14ac:dyDescent="0.35">
      <c r="B14" s="16" t="s">
        <v>538</v>
      </c>
    </row>
    <row r="15" spans="2:25" x14ac:dyDescent="0.35">
      <c r="B15" t="s">
        <v>51</v>
      </c>
    </row>
    <row r="16" spans="2:25" x14ac:dyDescent="0.35">
      <c r="B16" t="s">
        <v>52</v>
      </c>
    </row>
    <row r="18" spans="2:2" x14ac:dyDescent="0.35">
      <c r="B18" s="8" t="str">
        <f>HYPERLINK("#'Contents'!A1", "Return to Contents")</f>
        <v>Return to Contents</v>
      </c>
    </row>
  </sheetData>
  <mergeCells count="5">
    <mergeCell ref="D5:E5"/>
    <mergeCell ref="G5:L5"/>
    <mergeCell ref="N5:V5"/>
    <mergeCell ref="X5:Y5"/>
    <mergeCell ref="D2:W2"/>
  </mergeCells>
  <pageMargins left="0.7" right="0.7" top="0.75" bottom="0.75" header="0.3" footer="0.3"/>
  <pageSetup paperSize="9" orientation="portrait" horizontalDpi="300" verticalDpi="300"/>
  <drawing r:id="rId1"/>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400-000000000000}">
  <dimension ref="B2:Y18"/>
  <sheetViews>
    <sheetView showGridLines="0" workbookViewId="0">
      <pane xSplit="2" topLeftCell="C1" activePane="topRight" state="frozen"/>
      <selection pane="topRight" activeCell="B14" sqref="B14"/>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s>
  <sheetData>
    <row r="2" spans="2:25" ht="40" customHeight="1" x14ac:dyDescent="0.35">
      <c r="D2" s="30" t="s">
        <v>405</v>
      </c>
      <c r="E2" s="26"/>
      <c r="F2" s="26"/>
      <c r="G2" s="26"/>
      <c r="H2" s="26"/>
      <c r="I2" s="26"/>
      <c r="J2" s="26"/>
      <c r="K2" s="26"/>
      <c r="L2" s="26"/>
      <c r="M2" s="26"/>
      <c r="N2" s="26"/>
      <c r="O2" s="26"/>
      <c r="P2" s="26"/>
      <c r="Q2" s="26"/>
      <c r="R2" s="26"/>
      <c r="S2" s="26"/>
      <c r="T2" s="26"/>
      <c r="U2" s="26"/>
      <c r="V2" s="26"/>
      <c r="W2" s="26"/>
    </row>
    <row r="5" spans="2:25" ht="30" customHeight="1" x14ac:dyDescent="0.35">
      <c r="B5" s="15"/>
      <c r="C5" s="15"/>
      <c r="D5" s="29" t="s">
        <v>38</v>
      </c>
      <c r="E5" s="29"/>
      <c r="F5" s="15"/>
      <c r="G5" s="29" t="s">
        <v>39</v>
      </c>
      <c r="H5" s="29"/>
      <c r="I5" s="29"/>
      <c r="J5" s="29"/>
      <c r="K5" s="29"/>
      <c r="L5" s="29"/>
      <c r="M5" s="15"/>
      <c r="N5" s="29" t="s">
        <v>40</v>
      </c>
      <c r="O5" s="29"/>
      <c r="P5" s="29"/>
      <c r="Q5" s="29"/>
      <c r="R5" s="29"/>
      <c r="S5" s="29"/>
      <c r="T5" s="29"/>
      <c r="U5" s="29"/>
      <c r="V5" s="29"/>
      <c r="W5" s="15"/>
      <c r="X5" s="29" t="s">
        <v>41</v>
      </c>
      <c r="Y5" s="29"/>
    </row>
    <row r="6" spans="2:25" ht="29"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row>
    <row r="7" spans="2:25" ht="30" customHeight="1" x14ac:dyDescent="0.35">
      <c r="B7" s="10" t="s">
        <v>19</v>
      </c>
      <c r="C7" s="10">
        <v>1710</v>
      </c>
      <c r="D7" s="10">
        <v>829</v>
      </c>
      <c r="E7" s="10">
        <v>879</v>
      </c>
      <c r="F7" s="10"/>
      <c r="G7" s="10">
        <v>171</v>
      </c>
      <c r="H7" s="10">
        <v>290</v>
      </c>
      <c r="I7" s="10">
        <v>297</v>
      </c>
      <c r="J7" s="10">
        <v>297</v>
      </c>
      <c r="K7" s="10">
        <v>259</v>
      </c>
      <c r="L7" s="10">
        <v>396</v>
      </c>
      <c r="M7" s="10"/>
      <c r="N7" s="10">
        <v>48</v>
      </c>
      <c r="O7" s="10">
        <v>50</v>
      </c>
      <c r="P7" s="10">
        <v>231</v>
      </c>
      <c r="Q7" s="10">
        <v>155</v>
      </c>
      <c r="R7" s="10">
        <v>147</v>
      </c>
      <c r="S7" s="10">
        <v>187</v>
      </c>
      <c r="T7" s="10">
        <v>334</v>
      </c>
      <c r="U7" s="10">
        <v>410</v>
      </c>
      <c r="V7" s="10">
        <v>148</v>
      </c>
      <c r="W7" s="10"/>
      <c r="X7" s="10">
        <v>760</v>
      </c>
      <c r="Y7" s="10">
        <v>950</v>
      </c>
    </row>
    <row r="8" spans="2:25" ht="30" customHeight="1" x14ac:dyDescent="0.35">
      <c r="B8" s="11" t="s">
        <v>20</v>
      </c>
      <c r="C8" s="11">
        <v>1701</v>
      </c>
      <c r="D8" s="11">
        <v>826</v>
      </c>
      <c r="E8" s="11">
        <v>873</v>
      </c>
      <c r="F8" s="11"/>
      <c r="G8" s="11">
        <v>164</v>
      </c>
      <c r="H8" s="11">
        <v>271</v>
      </c>
      <c r="I8" s="11">
        <v>298</v>
      </c>
      <c r="J8" s="11">
        <v>289</v>
      </c>
      <c r="K8" s="11">
        <v>254</v>
      </c>
      <c r="L8" s="11">
        <v>425</v>
      </c>
      <c r="M8" s="11"/>
      <c r="N8" s="11">
        <v>47</v>
      </c>
      <c r="O8" s="11">
        <v>46</v>
      </c>
      <c r="P8" s="11">
        <v>229</v>
      </c>
      <c r="Q8" s="11">
        <v>152</v>
      </c>
      <c r="R8" s="11">
        <v>142</v>
      </c>
      <c r="S8" s="11">
        <v>189</v>
      </c>
      <c r="T8" s="11">
        <v>335</v>
      </c>
      <c r="U8" s="11">
        <v>411</v>
      </c>
      <c r="V8" s="11">
        <v>150</v>
      </c>
      <c r="W8" s="11"/>
      <c r="X8" s="11">
        <v>692</v>
      </c>
      <c r="Y8" s="11">
        <v>1009</v>
      </c>
    </row>
    <row r="9" spans="2:25" x14ac:dyDescent="0.35">
      <c r="B9" s="18" t="s">
        <v>396</v>
      </c>
      <c r="C9" s="17">
        <v>0.55404570146288401</v>
      </c>
      <c r="D9" s="17">
        <v>0.52971572850362802</v>
      </c>
      <c r="E9" s="17">
        <v>0.57718393734405804</v>
      </c>
      <c r="F9" s="17"/>
      <c r="G9" s="17">
        <v>0.47183606849438198</v>
      </c>
      <c r="H9" s="17">
        <v>0.47077253260816099</v>
      </c>
      <c r="I9" s="17">
        <v>0.53439679993080702</v>
      </c>
      <c r="J9" s="17">
        <v>0.61111003027222099</v>
      </c>
      <c r="K9" s="17">
        <v>0.60367555739118595</v>
      </c>
      <c r="L9" s="17">
        <v>0.58410226043425195</v>
      </c>
      <c r="M9" s="17"/>
      <c r="N9" s="17">
        <v>0.53434547616447103</v>
      </c>
      <c r="O9" s="17">
        <v>0.52610295630702197</v>
      </c>
      <c r="P9" s="17">
        <v>0.56739845115679299</v>
      </c>
      <c r="Q9" s="17">
        <v>0.49926561149290399</v>
      </c>
      <c r="R9" s="17">
        <v>0.65998133806495896</v>
      </c>
      <c r="S9" s="17">
        <v>0.48807044981303699</v>
      </c>
      <c r="T9" s="17">
        <v>0.49057154810846298</v>
      </c>
      <c r="U9" s="17">
        <v>0.65396809138673995</v>
      </c>
      <c r="V9" s="17">
        <v>0.455020282219671</v>
      </c>
      <c r="W9" s="17"/>
      <c r="X9" s="17">
        <v>0.53328862632851404</v>
      </c>
      <c r="Y9" s="17">
        <v>0.56827187689680603</v>
      </c>
    </row>
    <row r="10" spans="2:25" x14ac:dyDescent="0.35">
      <c r="B10" s="18" t="s">
        <v>397</v>
      </c>
      <c r="C10" s="17">
        <v>0.32614436832414301</v>
      </c>
      <c r="D10" s="17">
        <v>0.33573064372922801</v>
      </c>
      <c r="E10" s="17">
        <v>0.31668275789625</v>
      </c>
      <c r="F10" s="17"/>
      <c r="G10" s="17">
        <v>0.38239502128283598</v>
      </c>
      <c r="H10" s="17">
        <v>0.37960487642331597</v>
      </c>
      <c r="I10" s="17">
        <v>0.34595271752729301</v>
      </c>
      <c r="J10" s="17">
        <v>0.283727295351071</v>
      </c>
      <c r="K10" s="17">
        <v>0.27136522509275401</v>
      </c>
      <c r="L10" s="17">
        <v>0.31809645216059901</v>
      </c>
      <c r="M10" s="17"/>
      <c r="N10" s="17">
        <v>0.34130332546092501</v>
      </c>
      <c r="O10" s="17">
        <v>0.29333932737933899</v>
      </c>
      <c r="P10" s="17">
        <v>0.30074088085784501</v>
      </c>
      <c r="Q10" s="17">
        <v>0.37945637956790101</v>
      </c>
      <c r="R10" s="17">
        <v>0.24535483426327401</v>
      </c>
      <c r="S10" s="17">
        <v>0.37491073212943099</v>
      </c>
      <c r="T10" s="17">
        <v>0.37687136760559797</v>
      </c>
      <c r="U10" s="17">
        <v>0.26865688907016699</v>
      </c>
      <c r="V10" s="17">
        <v>0.37532719972748402</v>
      </c>
      <c r="W10" s="17"/>
      <c r="X10" s="17">
        <v>0.35586199444172001</v>
      </c>
      <c r="Y10" s="17">
        <v>0.30577694372835601</v>
      </c>
    </row>
    <row r="11" spans="2:25" x14ac:dyDescent="0.35">
      <c r="B11" s="18" t="s">
        <v>398</v>
      </c>
      <c r="C11" s="17">
        <v>9.7647625214928604E-2</v>
      </c>
      <c r="D11" s="17">
        <v>0.113790431634034</v>
      </c>
      <c r="E11" s="17">
        <v>8.2597126755838399E-2</v>
      </c>
      <c r="F11" s="17"/>
      <c r="G11" s="17">
        <v>0.12717798905541999</v>
      </c>
      <c r="H11" s="17">
        <v>0.12961823334577099</v>
      </c>
      <c r="I11" s="17">
        <v>0.10873918014368</v>
      </c>
      <c r="J11" s="17">
        <v>7.1693814468607495E-2</v>
      </c>
      <c r="K11" s="17">
        <v>0.10266421742878699</v>
      </c>
      <c r="L11" s="17">
        <v>7.2756681830377701E-2</v>
      </c>
      <c r="M11" s="17"/>
      <c r="N11" s="17">
        <v>8.2919745414110804E-2</v>
      </c>
      <c r="O11" s="17">
        <v>0.151312449825837</v>
      </c>
      <c r="P11" s="17">
        <v>0.10805076344317401</v>
      </c>
      <c r="Q11" s="17">
        <v>9.8042486102917104E-2</v>
      </c>
      <c r="R11" s="17">
        <v>7.3626343143288198E-2</v>
      </c>
      <c r="S11" s="17">
        <v>0.116927492726403</v>
      </c>
      <c r="T11" s="17">
        <v>0.10843827501098099</v>
      </c>
      <c r="U11" s="17">
        <v>6.9063319953771393E-2</v>
      </c>
      <c r="V11" s="17">
        <v>0.12205110407034001</v>
      </c>
      <c r="W11" s="17"/>
      <c r="X11" s="17">
        <v>8.9762791529014105E-2</v>
      </c>
      <c r="Y11" s="17">
        <v>0.10305161525480599</v>
      </c>
    </row>
    <row r="12" spans="2:25" x14ac:dyDescent="0.35">
      <c r="B12" s="18" t="s">
        <v>399</v>
      </c>
      <c r="C12" s="17">
        <v>1.42297294507701E-2</v>
      </c>
      <c r="D12" s="17">
        <v>1.17135674336476E-2</v>
      </c>
      <c r="E12" s="17">
        <v>1.6642404645357E-2</v>
      </c>
      <c r="F12" s="17"/>
      <c r="G12" s="17">
        <v>1.54649837388684E-2</v>
      </c>
      <c r="H12" s="17">
        <v>1.22078363342863E-2</v>
      </c>
      <c r="I12" s="17">
        <v>2.9395778276173198E-3</v>
      </c>
      <c r="J12" s="17">
        <v>2.1714146384079199E-2</v>
      </c>
      <c r="K12" s="17">
        <v>9.1311073010017594E-3</v>
      </c>
      <c r="L12" s="17">
        <v>2.0920367911457401E-2</v>
      </c>
      <c r="M12" s="17"/>
      <c r="N12" s="17">
        <v>1.8630515412084998E-2</v>
      </c>
      <c r="O12" s="17">
        <v>1.49066320324194E-2</v>
      </c>
      <c r="P12" s="17">
        <v>1.31461298043493E-2</v>
      </c>
      <c r="Q12" s="17">
        <v>1.17710831306304E-2</v>
      </c>
      <c r="R12" s="17">
        <v>1.36579317750628E-2</v>
      </c>
      <c r="S12" s="17">
        <v>9.4969382361566792E-3</v>
      </c>
      <c r="T12" s="17">
        <v>2.1887309954644499E-2</v>
      </c>
      <c r="U12" s="17">
        <v>3.2354392001745099E-3</v>
      </c>
      <c r="V12" s="17">
        <v>3.63599962361663E-2</v>
      </c>
      <c r="W12" s="17"/>
      <c r="X12" s="17">
        <v>1.3429347320491799E-2</v>
      </c>
      <c r="Y12" s="17">
        <v>1.4778283451071499E-2</v>
      </c>
    </row>
    <row r="13" spans="2:25" x14ac:dyDescent="0.35">
      <c r="B13" s="18" t="s">
        <v>400</v>
      </c>
      <c r="C13" s="19">
        <v>7.9325755472742301E-3</v>
      </c>
      <c r="D13" s="19">
        <v>9.0496286994623306E-3</v>
      </c>
      <c r="E13" s="19">
        <v>6.8937733584972898E-3</v>
      </c>
      <c r="F13" s="19"/>
      <c r="G13" s="19">
        <v>3.1259374284938199E-3</v>
      </c>
      <c r="H13" s="19">
        <v>7.7965212884659298E-3</v>
      </c>
      <c r="I13" s="19">
        <v>7.9717245706032898E-3</v>
      </c>
      <c r="J13" s="19">
        <v>1.1754713524021101E-2</v>
      </c>
      <c r="K13" s="19">
        <v>1.31638927862713E-2</v>
      </c>
      <c r="L13" s="19">
        <v>4.1242376633142301E-3</v>
      </c>
      <c r="M13" s="19"/>
      <c r="N13" s="19">
        <v>2.28009375484081E-2</v>
      </c>
      <c r="O13" s="19">
        <v>1.43386344553831E-2</v>
      </c>
      <c r="P13" s="19">
        <v>1.06637747378388E-2</v>
      </c>
      <c r="Q13" s="19">
        <v>1.14644397056474E-2</v>
      </c>
      <c r="R13" s="19">
        <v>7.3795527534152297E-3</v>
      </c>
      <c r="S13" s="19">
        <v>1.05943870949727E-2</v>
      </c>
      <c r="T13" s="19">
        <v>2.2314993203130401E-3</v>
      </c>
      <c r="U13" s="19">
        <v>5.0762603891468302E-3</v>
      </c>
      <c r="V13" s="19">
        <v>1.1241417746338999E-2</v>
      </c>
      <c r="W13" s="19"/>
      <c r="X13" s="19">
        <v>7.6572403802600397E-3</v>
      </c>
      <c r="Y13" s="19">
        <v>8.1212806689600191E-3</v>
      </c>
    </row>
    <row r="14" spans="2:25" x14ac:dyDescent="0.35">
      <c r="B14" s="16" t="s">
        <v>538</v>
      </c>
    </row>
    <row r="15" spans="2:25" x14ac:dyDescent="0.35">
      <c r="B15" t="s">
        <v>51</v>
      </c>
    </row>
    <row r="16" spans="2:25" x14ac:dyDescent="0.35">
      <c r="B16" t="s">
        <v>52</v>
      </c>
    </row>
    <row r="18" spans="2:2" x14ac:dyDescent="0.35">
      <c r="B18" s="8" t="str">
        <f>HYPERLINK("#'Contents'!A1", "Return to Contents")</f>
        <v>Return to Contents</v>
      </c>
    </row>
  </sheetData>
  <mergeCells count="5">
    <mergeCell ref="D5:E5"/>
    <mergeCell ref="G5:L5"/>
    <mergeCell ref="N5:V5"/>
    <mergeCell ref="X5:Y5"/>
    <mergeCell ref="D2:W2"/>
  </mergeCells>
  <pageMargins left="0.7" right="0.7" top="0.75" bottom="0.75" header="0.3" footer="0.3"/>
  <pageSetup paperSize="9" orientation="portrait" horizontalDpi="300" verticalDpi="300"/>
  <drawing r:id="rId1"/>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500-000000000000}">
  <dimension ref="B2:Y18"/>
  <sheetViews>
    <sheetView showGridLines="0" workbookViewId="0">
      <pane xSplit="2" topLeftCell="C1" activePane="topRight" state="frozen"/>
      <selection pane="topRight" activeCell="B14" sqref="B14"/>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s>
  <sheetData>
    <row r="2" spans="2:25" ht="40" customHeight="1" x14ac:dyDescent="0.35">
      <c r="D2" s="30" t="s">
        <v>406</v>
      </c>
      <c r="E2" s="26"/>
      <c r="F2" s="26"/>
      <c r="G2" s="26"/>
      <c r="H2" s="26"/>
      <c r="I2" s="26"/>
      <c r="J2" s="26"/>
      <c r="K2" s="26"/>
      <c r="L2" s="26"/>
      <c r="M2" s="26"/>
      <c r="N2" s="26"/>
      <c r="O2" s="26"/>
      <c r="P2" s="26"/>
      <c r="Q2" s="26"/>
      <c r="R2" s="26"/>
      <c r="S2" s="26"/>
      <c r="T2" s="26"/>
      <c r="U2" s="26"/>
      <c r="V2" s="26"/>
      <c r="W2" s="26"/>
    </row>
    <row r="5" spans="2:25" ht="30" customHeight="1" x14ac:dyDescent="0.35">
      <c r="B5" s="15"/>
      <c r="C5" s="15"/>
      <c r="D5" s="29" t="s">
        <v>38</v>
      </c>
      <c r="E5" s="29"/>
      <c r="F5" s="15"/>
      <c r="G5" s="29" t="s">
        <v>39</v>
      </c>
      <c r="H5" s="29"/>
      <c r="I5" s="29"/>
      <c r="J5" s="29"/>
      <c r="K5" s="29"/>
      <c r="L5" s="29"/>
      <c r="M5" s="15"/>
      <c r="N5" s="29" t="s">
        <v>40</v>
      </c>
      <c r="O5" s="29"/>
      <c r="P5" s="29"/>
      <c r="Q5" s="29"/>
      <c r="R5" s="29"/>
      <c r="S5" s="29"/>
      <c r="T5" s="29"/>
      <c r="U5" s="29"/>
      <c r="V5" s="29"/>
      <c r="W5" s="15"/>
      <c r="X5" s="29" t="s">
        <v>41</v>
      </c>
      <c r="Y5" s="29"/>
    </row>
    <row r="6" spans="2:25" ht="29"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row>
    <row r="7" spans="2:25" ht="30" customHeight="1" x14ac:dyDescent="0.35">
      <c r="B7" s="10" t="s">
        <v>19</v>
      </c>
      <c r="C7" s="10">
        <v>2399</v>
      </c>
      <c r="D7" s="10">
        <v>1272</v>
      </c>
      <c r="E7" s="10">
        <v>1121</v>
      </c>
      <c r="F7" s="10"/>
      <c r="G7" s="10">
        <v>321</v>
      </c>
      <c r="H7" s="10">
        <v>488</v>
      </c>
      <c r="I7" s="10">
        <v>414</v>
      </c>
      <c r="J7" s="10">
        <v>401</v>
      </c>
      <c r="K7" s="10">
        <v>344</v>
      </c>
      <c r="L7" s="10">
        <v>431</v>
      </c>
      <c r="M7" s="10"/>
      <c r="N7" s="10">
        <v>72</v>
      </c>
      <c r="O7" s="10">
        <v>122</v>
      </c>
      <c r="P7" s="10">
        <v>165</v>
      </c>
      <c r="Q7" s="10">
        <v>291</v>
      </c>
      <c r="R7" s="10">
        <v>402</v>
      </c>
      <c r="S7" s="10">
        <v>268</v>
      </c>
      <c r="T7" s="10">
        <v>551</v>
      </c>
      <c r="U7" s="10">
        <v>308</v>
      </c>
      <c r="V7" s="10">
        <v>220</v>
      </c>
      <c r="W7" s="10"/>
      <c r="X7" s="10">
        <v>1059</v>
      </c>
      <c r="Y7" s="10">
        <v>1340</v>
      </c>
    </row>
    <row r="8" spans="2:25" ht="30" customHeight="1" x14ac:dyDescent="0.35">
      <c r="B8" s="11" t="s">
        <v>20</v>
      </c>
      <c r="C8" s="11">
        <v>2384</v>
      </c>
      <c r="D8" s="11">
        <v>1282</v>
      </c>
      <c r="E8" s="11">
        <v>1096</v>
      </c>
      <c r="F8" s="11"/>
      <c r="G8" s="11">
        <v>323</v>
      </c>
      <c r="H8" s="11">
        <v>463</v>
      </c>
      <c r="I8" s="11">
        <v>418</v>
      </c>
      <c r="J8" s="11">
        <v>383</v>
      </c>
      <c r="K8" s="11">
        <v>342</v>
      </c>
      <c r="L8" s="11">
        <v>455</v>
      </c>
      <c r="M8" s="11"/>
      <c r="N8" s="11">
        <v>73</v>
      </c>
      <c r="O8" s="11">
        <v>131</v>
      </c>
      <c r="P8" s="11">
        <v>173</v>
      </c>
      <c r="Q8" s="11">
        <v>296</v>
      </c>
      <c r="R8" s="11">
        <v>384</v>
      </c>
      <c r="S8" s="11">
        <v>282</v>
      </c>
      <c r="T8" s="11">
        <v>541</v>
      </c>
      <c r="U8" s="11">
        <v>282</v>
      </c>
      <c r="V8" s="11">
        <v>222</v>
      </c>
      <c r="W8" s="11"/>
      <c r="X8" s="11">
        <v>985</v>
      </c>
      <c r="Y8" s="11">
        <v>1399</v>
      </c>
    </row>
    <row r="9" spans="2:25" x14ac:dyDescent="0.35">
      <c r="B9" s="18" t="s">
        <v>396</v>
      </c>
      <c r="C9" s="17">
        <v>0.51518616397546202</v>
      </c>
      <c r="D9" s="17">
        <v>0.51297281262619399</v>
      </c>
      <c r="E9" s="17">
        <v>0.51876231909958204</v>
      </c>
      <c r="F9" s="17"/>
      <c r="G9" s="17">
        <v>0.44540619032575501</v>
      </c>
      <c r="H9" s="17">
        <v>0.46099293505417899</v>
      </c>
      <c r="I9" s="17">
        <v>0.54705151270921604</v>
      </c>
      <c r="J9" s="17">
        <v>0.526180421191351</v>
      </c>
      <c r="K9" s="17">
        <v>0.54898932719997995</v>
      </c>
      <c r="L9" s="17">
        <v>0.55588887662740805</v>
      </c>
      <c r="M9" s="17"/>
      <c r="N9" s="17">
        <v>0.56264864831182704</v>
      </c>
      <c r="O9" s="17">
        <v>0.74694418137464502</v>
      </c>
      <c r="P9" s="17">
        <v>0.40801120854181699</v>
      </c>
      <c r="Q9" s="17">
        <v>0.41004741920292898</v>
      </c>
      <c r="R9" s="17">
        <v>0.46368274252727398</v>
      </c>
      <c r="S9" s="17">
        <v>0.52787022731521605</v>
      </c>
      <c r="T9" s="17">
        <v>0.473103634171536</v>
      </c>
      <c r="U9" s="17">
        <v>0.588837262268464</v>
      </c>
      <c r="V9" s="17">
        <v>0.66846254452242304</v>
      </c>
      <c r="W9" s="17"/>
      <c r="X9" s="17">
        <v>0.53722478880234403</v>
      </c>
      <c r="Y9" s="17">
        <v>0.499671837390326</v>
      </c>
    </row>
    <row r="10" spans="2:25" x14ac:dyDescent="0.35">
      <c r="B10" s="18" t="s">
        <v>397</v>
      </c>
      <c r="C10" s="17">
        <v>0.37158811644658302</v>
      </c>
      <c r="D10" s="17">
        <v>0.36934489814511001</v>
      </c>
      <c r="E10" s="17">
        <v>0.37260988064113298</v>
      </c>
      <c r="F10" s="17"/>
      <c r="G10" s="17">
        <v>0.430427825052076</v>
      </c>
      <c r="H10" s="17">
        <v>0.39826579956722402</v>
      </c>
      <c r="I10" s="17">
        <v>0.36459836779532201</v>
      </c>
      <c r="J10" s="17">
        <v>0.36534499138520898</v>
      </c>
      <c r="K10" s="17">
        <v>0.35023234819523202</v>
      </c>
      <c r="L10" s="17">
        <v>0.33042812211018302</v>
      </c>
      <c r="M10" s="17"/>
      <c r="N10" s="17">
        <v>0.36093443098935202</v>
      </c>
      <c r="O10" s="17">
        <v>0.18626532356015599</v>
      </c>
      <c r="P10" s="17">
        <v>0.448996367226355</v>
      </c>
      <c r="Q10" s="17">
        <v>0.37428411144152202</v>
      </c>
      <c r="R10" s="17">
        <v>0.44873017896302397</v>
      </c>
      <c r="S10" s="17">
        <v>0.35285238969627097</v>
      </c>
      <c r="T10" s="17">
        <v>0.42400411298639901</v>
      </c>
      <c r="U10" s="17">
        <v>0.302279406854219</v>
      </c>
      <c r="V10" s="17">
        <v>0.271197175091487</v>
      </c>
      <c r="W10" s="17"/>
      <c r="X10" s="17">
        <v>0.35955774563865101</v>
      </c>
      <c r="Y10" s="17">
        <v>0.38005702515212397</v>
      </c>
    </row>
    <row r="11" spans="2:25" x14ac:dyDescent="0.35">
      <c r="B11" s="18" t="s">
        <v>398</v>
      </c>
      <c r="C11" s="17">
        <v>9.4508760862239097E-2</v>
      </c>
      <c r="D11" s="17">
        <v>9.8377012731378194E-2</v>
      </c>
      <c r="E11" s="17">
        <v>9.0497376726228193E-2</v>
      </c>
      <c r="F11" s="17"/>
      <c r="G11" s="17">
        <v>0.108019958332846</v>
      </c>
      <c r="H11" s="17">
        <v>0.11337704210329</v>
      </c>
      <c r="I11" s="17">
        <v>7.5813378483060107E-2</v>
      </c>
      <c r="J11" s="17">
        <v>9.39285762046463E-2</v>
      </c>
      <c r="K11" s="17">
        <v>8.6719534592891695E-2</v>
      </c>
      <c r="L11" s="17">
        <v>8.9246549928731697E-2</v>
      </c>
      <c r="M11" s="17"/>
      <c r="N11" s="17">
        <v>6.1676298839348699E-2</v>
      </c>
      <c r="O11" s="17">
        <v>6.6790495065198893E-2</v>
      </c>
      <c r="P11" s="17">
        <v>0.112371622383781</v>
      </c>
      <c r="Q11" s="17">
        <v>0.16289983960923099</v>
      </c>
      <c r="R11" s="17">
        <v>7.5787629365723502E-2</v>
      </c>
      <c r="S11" s="17">
        <v>0.108577015232226</v>
      </c>
      <c r="T11" s="17">
        <v>9.3917578600572205E-2</v>
      </c>
      <c r="U11" s="17">
        <v>8.3685038474294801E-2</v>
      </c>
      <c r="V11" s="17">
        <v>4.62911948232873E-2</v>
      </c>
      <c r="W11" s="17"/>
      <c r="X11" s="17">
        <v>8.50747804257945E-2</v>
      </c>
      <c r="Y11" s="17">
        <v>0.101149912687205</v>
      </c>
    </row>
    <row r="12" spans="2:25" x14ac:dyDescent="0.35">
      <c r="B12" s="18" t="s">
        <v>399</v>
      </c>
      <c r="C12" s="17">
        <v>1.37983587829536E-2</v>
      </c>
      <c r="D12" s="17">
        <v>1.52927850698177E-2</v>
      </c>
      <c r="E12" s="17">
        <v>1.21254718857785E-2</v>
      </c>
      <c r="F12" s="17"/>
      <c r="G12" s="17">
        <v>1.61460262893235E-2</v>
      </c>
      <c r="H12" s="17">
        <v>2.7364223275306999E-2</v>
      </c>
      <c r="I12" s="17">
        <v>8.0084533924062208E-3</v>
      </c>
      <c r="J12" s="17">
        <v>5.6406766263471598E-3</v>
      </c>
      <c r="K12" s="17">
        <v>6.8453176828073801E-3</v>
      </c>
      <c r="L12" s="17">
        <v>1.5745881874600999E-2</v>
      </c>
      <c r="M12" s="17"/>
      <c r="N12" s="17">
        <v>0</v>
      </c>
      <c r="O12" s="17">
        <v>0</v>
      </c>
      <c r="P12" s="17">
        <v>3.0620801848047999E-2</v>
      </c>
      <c r="Q12" s="17">
        <v>4.3572376252006398E-2</v>
      </c>
      <c r="R12" s="17">
        <v>5.4253197608866103E-3</v>
      </c>
      <c r="S12" s="17">
        <v>7.3885724652274602E-3</v>
      </c>
      <c r="T12" s="17">
        <v>4.9355844604094899E-3</v>
      </c>
      <c r="U12" s="17">
        <v>2.0220133631711101E-2</v>
      </c>
      <c r="V12" s="17">
        <v>9.7296725593222794E-3</v>
      </c>
      <c r="W12" s="17"/>
      <c r="X12" s="17">
        <v>1.48606521418224E-2</v>
      </c>
      <c r="Y12" s="17">
        <v>1.30505459666744E-2</v>
      </c>
    </row>
    <row r="13" spans="2:25" x14ac:dyDescent="0.35">
      <c r="B13" s="18" t="s">
        <v>400</v>
      </c>
      <c r="C13" s="19">
        <v>4.9185999327622E-3</v>
      </c>
      <c r="D13" s="19">
        <v>4.0124914275002001E-3</v>
      </c>
      <c r="E13" s="19">
        <v>6.0049516472774397E-3</v>
      </c>
      <c r="F13" s="19"/>
      <c r="G13" s="19">
        <v>0</v>
      </c>
      <c r="H13" s="19">
        <v>0</v>
      </c>
      <c r="I13" s="19">
        <v>4.5282876199958296E-3</v>
      </c>
      <c r="J13" s="19">
        <v>8.9053345924463897E-3</v>
      </c>
      <c r="K13" s="19">
        <v>7.2134723290890098E-3</v>
      </c>
      <c r="L13" s="19">
        <v>8.6905694590760398E-3</v>
      </c>
      <c r="M13" s="19"/>
      <c r="N13" s="19">
        <v>1.4740621859471901E-2</v>
      </c>
      <c r="O13" s="19">
        <v>0</v>
      </c>
      <c r="P13" s="19">
        <v>0</v>
      </c>
      <c r="Q13" s="19">
        <v>9.1962534943116105E-3</v>
      </c>
      <c r="R13" s="19">
        <v>6.3741293830921301E-3</v>
      </c>
      <c r="S13" s="19">
        <v>3.3117952910595E-3</v>
      </c>
      <c r="T13" s="19">
        <v>4.0390897810837698E-3</v>
      </c>
      <c r="U13" s="19">
        <v>4.9781587713115596E-3</v>
      </c>
      <c r="V13" s="19">
        <v>4.3194130034805598E-3</v>
      </c>
      <c r="W13" s="19"/>
      <c r="X13" s="19">
        <v>3.28203299138773E-3</v>
      </c>
      <c r="Y13" s="19">
        <v>6.0706788036702999E-3</v>
      </c>
    </row>
    <row r="14" spans="2:25" x14ac:dyDescent="0.35">
      <c r="B14" s="16" t="s">
        <v>538</v>
      </c>
    </row>
    <row r="15" spans="2:25" x14ac:dyDescent="0.35">
      <c r="B15" t="s">
        <v>51</v>
      </c>
    </row>
    <row r="16" spans="2:25" x14ac:dyDescent="0.35">
      <c r="B16" t="s">
        <v>52</v>
      </c>
    </row>
    <row r="18" spans="2:2" x14ac:dyDescent="0.35">
      <c r="B18" s="8" t="str">
        <f>HYPERLINK("#'Contents'!A1", "Return to Contents")</f>
        <v>Return to Contents</v>
      </c>
    </row>
  </sheetData>
  <mergeCells count="5">
    <mergeCell ref="D5:E5"/>
    <mergeCell ref="G5:L5"/>
    <mergeCell ref="N5:V5"/>
    <mergeCell ref="X5:Y5"/>
    <mergeCell ref="D2:W2"/>
  </mergeCells>
  <pageMargins left="0.7" right="0.7" top="0.75" bottom="0.75" header="0.3" footer="0.3"/>
  <pageSetup paperSize="9" orientation="portrait" horizontalDpi="300" verticalDpi="300"/>
  <drawing r:id="rId1"/>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600-000000000000}">
  <dimension ref="B2:Y18"/>
  <sheetViews>
    <sheetView showGridLines="0" workbookViewId="0">
      <pane xSplit="2" topLeftCell="C1" activePane="topRight" state="frozen"/>
      <selection pane="topRight" activeCell="B14" sqref="B14"/>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s>
  <sheetData>
    <row r="2" spans="2:25" ht="40" customHeight="1" x14ac:dyDescent="0.35">
      <c r="D2" s="30" t="s">
        <v>407</v>
      </c>
      <c r="E2" s="26"/>
      <c r="F2" s="26"/>
      <c r="G2" s="26"/>
      <c r="H2" s="26"/>
      <c r="I2" s="26"/>
      <c r="J2" s="26"/>
      <c r="K2" s="26"/>
      <c r="L2" s="26"/>
      <c r="M2" s="26"/>
      <c r="N2" s="26"/>
      <c r="O2" s="26"/>
      <c r="P2" s="26"/>
      <c r="Q2" s="26"/>
      <c r="R2" s="26"/>
      <c r="S2" s="26"/>
      <c r="T2" s="26"/>
      <c r="U2" s="26"/>
      <c r="V2" s="26"/>
      <c r="W2" s="26"/>
    </row>
    <row r="5" spans="2:25" ht="30" customHeight="1" x14ac:dyDescent="0.35">
      <c r="B5" s="15"/>
      <c r="C5" s="15"/>
      <c r="D5" s="29" t="s">
        <v>38</v>
      </c>
      <c r="E5" s="29"/>
      <c r="F5" s="15"/>
      <c r="G5" s="29" t="s">
        <v>39</v>
      </c>
      <c r="H5" s="29"/>
      <c r="I5" s="29"/>
      <c r="J5" s="29"/>
      <c r="K5" s="29"/>
      <c r="L5" s="29"/>
      <c r="M5" s="15"/>
      <c r="N5" s="29" t="s">
        <v>40</v>
      </c>
      <c r="O5" s="29"/>
      <c r="P5" s="29"/>
      <c r="Q5" s="29"/>
      <c r="R5" s="29"/>
      <c r="S5" s="29"/>
      <c r="T5" s="29"/>
      <c r="U5" s="29"/>
      <c r="V5" s="29"/>
      <c r="W5" s="15"/>
      <c r="X5" s="29" t="s">
        <v>41</v>
      </c>
      <c r="Y5" s="29"/>
    </row>
    <row r="6" spans="2:25" ht="29"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row>
    <row r="7" spans="2:25" ht="30" customHeight="1" x14ac:dyDescent="0.35">
      <c r="B7" s="10" t="s">
        <v>19</v>
      </c>
      <c r="C7" s="10">
        <v>2409</v>
      </c>
      <c r="D7" s="10">
        <v>1096</v>
      </c>
      <c r="E7" s="10">
        <v>1308</v>
      </c>
      <c r="F7" s="10"/>
      <c r="G7" s="10">
        <v>216</v>
      </c>
      <c r="H7" s="10">
        <v>373</v>
      </c>
      <c r="I7" s="10">
        <v>386</v>
      </c>
      <c r="J7" s="10">
        <v>421</v>
      </c>
      <c r="K7" s="10">
        <v>393</v>
      </c>
      <c r="L7" s="10">
        <v>620</v>
      </c>
      <c r="M7" s="10"/>
      <c r="N7" s="10">
        <v>122</v>
      </c>
      <c r="O7" s="10">
        <v>153</v>
      </c>
      <c r="P7" s="10">
        <v>233</v>
      </c>
      <c r="Q7" s="10">
        <v>53</v>
      </c>
      <c r="R7" s="10">
        <v>352</v>
      </c>
      <c r="S7" s="10">
        <v>417</v>
      </c>
      <c r="T7" s="10">
        <v>431</v>
      </c>
      <c r="U7" s="10">
        <v>405</v>
      </c>
      <c r="V7" s="10">
        <v>243</v>
      </c>
      <c r="W7" s="10"/>
      <c r="X7" s="10">
        <v>1080</v>
      </c>
      <c r="Y7" s="10">
        <v>1329</v>
      </c>
    </row>
    <row r="8" spans="2:25" ht="30" customHeight="1" x14ac:dyDescent="0.35">
      <c r="B8" s="11" t="s">
        <v>20</v>
      </c>
      <c r="C8" s="11">
        <v>2377</v>
      </c>
      <c r="D8" s="11">
        <v>1093</v>
      </c>
      <c r="E8" s="11">
        <v>1279</v>
      </c>
      <c r="F8" s="11"/>
      <c r="G8" s="11">
        <v>214</v>
      </c>
      <c r="H8" s="11">
        <v>342</v>
      </c>
      <c r="I8" s="11">
        <v>386</v>
      </c>
      <c r="J8" s="11">
        <v>392</v>
      </c>
      <c r="K8" s="11">
        <v>386</v>
      </c>
      <c r="L8" s="11">
        <v>658</v>
      </c>
      <c r="M8" s="11"/>
      <c r="N8" s="11">
        <v>122</v>
      </c>
      <c r="O8" s="11">
        <v>154</v>
      </c>
      <c r="P8" s="11">
        <v>230</v>
      </c>
      <c r="Q8" s="11">
        <v>54</v>
      </c>
      <c r="R8" s="11">
        <v>337</v>
      </c>
      <c r="S8" s="11">
        <v>415</v>
      </c>
      <c r="T8" s="11">
        <v>431</v>
      </c>
      <c r="U8" s="11">
        <v>388</v>
      </c>
      <c r="V8" s="11">
        <v>247</v>
      </c>
      <c r="W8" s="11"/>
      <c r="X8" s="11">
        <v>988</v>
      </c>
      <c r="Y8" s="11">
        <v>1389</v>
      </c>
    </row>
    <row r="9" spans="2:25" x14ac:dyDescent="0.35">
      <c r="B9" s="18" t="s">
        <v>396</v>
      </c>
      <c r="C9" s="17">
        <v>0.59661256356888503</v>
      </c>
      <c r="D9" s="17">
        <v>0.58557948304895302</v>
      </c>
      <c r="E9" s="17">
        <v>0.60521335258819497</v>
      </c>
      <c r="F9" s="17"/>
      <c r="G9" s="17">
        <v>0.53337746522753804</v>
      </c>
      <c r="H9" s="17">
        <v>0.49930378339529202</v>
      </c>
      <c r="I9" s="17">
        <v>0.58082715574606503</v>
      </c>
      <c r="J9" s="17">
        <v>0.62935356390708397</v>
      </c>
      <c r="K9" s="17">
        <v>0.63073165713957402</v>
      </c>
      <c r="L9" s="17">
        <v>0.63751930060050899</v>
      </c>
      <c r="M9" s="17"/>
      <c r="N9" s="17">
        <v>0.64804053761743896</v>
      </c>
      <c r="O9" s="17">
        <v>0.69105911365760697</v>
      </c>
      <c r="P9" s="17">
        <v>0.55857301311757002</v>
      </c>
      <c r="Q9" s="17">
        <v>0.398837042307298</v>
      </c>
      <c r="R9" s="17">
        <v>0.63921736789495698</v>
      </c>
      <c r="S9" s="17">
        <v>0.59766794105596199</v>
      </c>
      <c r="T9" s="17">
        <v>0.46952688955053201</v>
      </c>
      <c r="U9" s="17">
        <v>0.68114762013821895</v>
      </c>
      <c r="V9" s="17">
        <v>0.62023931864991599</v>
      </c>
      <c r="W9" s="17"/>
      <c r="X9" s="17">
        <v>0.59684075713781404</v>
      </c>
      <c r="Y9" s="17">
        <v>0.59645022264884895</v>
      </c>
    </row>
    <row r="10" spans="2:25" x14ac:dyDescent="0.35">
      <c r="B10" s="18" t="s">
        <v>397</v>
      </c>
      <c r="C10" s="17">
        <v>0.32487281875096902</v>
      </c>
      <c r="D10" s="17">
        <v>0.33064001499524598</v>
      </c>
      <c r="E10" s="17">
        <v>0.32118925786678998</v>
      </c>
      <c r="F10" s="17"/>
      <c r="G10" s="17">
        <v>0.35578837441897998</v>
      </c>
      <c r="H10" s="17">
        <v>0.392557450047477</v>
      </c>
      <c r="I10" s="17">
        <v>0.332589340622722</v>
      </c>
      <c r="J10" s="17">
        <v>0.29604800699741701</v>
      </c>
      <c r="K10" s="17">
        <v>0.28821686014834602</v>
      </c>
      <c r="L10" s="17">
        <v>0.31377686311942599</v>
      </c>
      <c r="M10" s="17"/>
      <c r="N10" s="17">
        <v>0.29939849316983103</v>
      </c>
      <c r="O10" s="17">
        <v>0.27930397917397098</v>
      </c>
      <c r="P10" s="17">
        <v>0.343611530889672</v>
      </c>
      <c r="Q10" s="17">
        <v>0.374613466820018</v>
      </c>
      <c r="R10" s="17">
        <v>0.31323595305930702</v>
      </c>
      <c r="S10" s="17">
        <v>0.31880702756570001</v>
      </c>
      <c r="T10" s="17">
        <v>0.42414004846766001</v>
      </c>
      <c r="U10" s="17">
        <v>0.25207090488190897</v>
      </c>
      <c r="V10" s="17">
        <v>0.304710769122643</v>
      </c>
      <c r="W10" s="17"/>
      <c r="X10" s="17">
        <v>0.32555288907017799</v>
      </c>
      <c r="Y10" s="17">
        <v>0.32438900475994698</v>
      </c>
    </row>
    <row r="11" spans="2:25" x14ac:dyDescent="0.35">
      <c r="B11" s="18" t="s">
        <v>398</v>
      </c>
      <c r="C11" s="17">
        <v>6.5279320468332305E-2</v>
      </c>
      <c r="D11" s="17">
        <v>6.5869095692125901E-2</v>
      </c>
      <c r="E11" s="17">
        <v>6.5025310690487295E-2</v>
      </c>
      <c r="F11" s="17"/>
      <c r="G11" s="17">
        <v>9.4379838622389606E-2</v>
      </c>
      <c r="H11" s="17">
        <v>8.1499204459520705E-2</v>
      </c>
      <c r="I11" s="17">
        <v>7.0209155542709206E-2</v>
      </c>
      <c r="J11" s="17">
        <v>6.7653314848463306E-2</v>
      </c>
      <c r="K11" s="17">
        <v>7.2716343655505597E-2</v>
      </c>
      <c r="L11" s="17">
        <v>3.87025540770152E-2</v>
      </c>
      <c r="M11" s="17"/>
      <c r="N11" s="17">
        <v>4.53761060732936E-2</v>
      </c>
      <c r="O11" s="17">
        <v>2.4060854313542102E-2</v>
      </c>
      <c r="P11" s="17">
        <v>8.4378912003343007E-2</v>
      </c>
      <c r="Q11" s="17">
        <v>0.208049432128637</v>
      </c>
      <c r="R11" s="17">
        <v>3.56475331943511E-2</v>
      </c>
      <c r="S11" s="17">
        <v>6.2501442566547299E-2</v>
      </c>
      <c r="T11" s="17">
        <v>8.8855610706697202E-2</v>
      </c>
      <c r="U11" s="17">
        <v>5.8510106149859097E-2</v>
      </c>
      <c r="V11" s="17">
        <v>6.6273886244316793E-2</v>
      </c>
      <c r="W11" s="17"/>
      <c r="X11" s="17">
        <v>5.8024810385616798E-2</v>
      </c>
      <c r="Y11" s="17">
        <v>7.0440306585349305E-2</v>
      </c>
    </row>
    <row r="12" spans="2:25" x14ac:dyDescent="0.35">
      <c r="B12" s="18" t="s">
        <v>399</v>
      </c>
      <c r="C12" s="17">
        <v>1.00989147949623E-2</v>
      </c>
      <c r="D12" s="17">
        <v>1.38179242318884E-2</v>
      </c>
      <c r="E12" s="17">
        <v>6.24133966413256E-3</v>
      </c>
      <c r="F12" s="17"/>
      <c r="G12" s="17">
        <v>1.6454321731092101E-2</v>
      </c>
      <c r="H12" s="17">
        <v>2.0479077270025601E-2</v>
      </c>
      <c r="I12" s="17">
        <v>8.97618417473868E-3</v>
      </c>
      <c r="J12" s="17">
        <v>5.9140625072004304E-3</v>
      </c>
      <c r="K12" s="17">
        <v>5.2314048533190997E-3</v>
      </c>
      <c r="L12" s="17">
        <v>8.64266243388165E-3</v>
      </c>
      <c r="M12" s="17"/>
      <c r="N12" s="17">
        <v>7.1848631394365601E-3</v>
      </c>
      <c r="O12" s="17">
        <v>5.5760528548795003E-3</v>
      </c>
      <c r="P12" s="17">
        <v>1.3436543989414599E-2</v>
      </c>
      <c r="Q12" s="17">
        <v>1.8500058744046699E-2</v>
      </c>
      <c r="R12" s="17">
        <v>8.0430570114817697E-3</v>
      </c>
      <c r="S12" s="17">
        <v>9.8140056393245696E-3</v>
      </c>
      <c r="T12" s="17">
        <v>1.5737508581589399E-2</v>
      </c>
      <c r="U12" s="17">
        <v>6.3237742216557301E-3</v>
      </c>
      <c r="V12" s="17">
        <v>8.7760259831246596E-3</v>
      </c>
      <c r="W12" s="17"/>
      <c r="X12" s="17">
        <v>1.41877902447779E-2</v>
      </c>
      <c r="Y12" s="17">
        <v>7.1900168555979098E-3</v>
      </c>
    </row>
    <row r="13" spans="2:25" x14ac:dyDescent="0.35">
      <c r="B13" s="18" t="s">
        <v>400</v>
      </c>
      <c r="C13" s="19">
        <v>3.13638241685098E-3</v>
      </c>
      <c r="D13" s="19">
        <v>4.0934820317864501E-3</v>
      </c>
      <c r="E13" s="19">
        <v>2.3307391903947101E-3</v>
      </c>
      <c r="F13" s="19"/>
      <c r="G13" s="19">
        <v>0</v>
      </c>
      <c r="H13" s="19">
        <v>6.1604848276848997E-3</v>
      </c>
      <c r="I13" s="19">
        <v>7.3981639137651297E-3</v>
      </c>
      <c r="J13" s="19">
        <v>1.0310517398357899E-3</v>
      </c>
      <c r="K13" s="19">
        <v>3.1037342032549401E-3</v>
      </c>
      <c r="L13" s="19">
        <v>1.3586197691680001E-3</v>
      </c>
      <c r="M13" s="19"/>
      <c r="N13" s="19">
        <v>0</v>
      </c>
      <c r="O13" s="19">
        <v>0</v>
      </c>
      <c r="P13" s="19">
        <v>0</v>
      </c>
      <c r="Q13" s="19">
        <v>0</v>
      </c>
      <c r="R13" s="19">
        <v>3.85608883990222E-3</v>
      </c>
      <c r="S13" s="19">
        <v>1.1209583172466699E-2</v>
      </c>
      <c r="T13" s="19">
        <v>1.73994269352104E-3</v>
      </c>
      <c r="U13" s="19">
        <v>1.9475946083571301E-3</v>
      </c>
      <c r="V13" s="19">
        <v>0</v>
      </c>
      <c r="W13" s="19"/>
      <c r="X13" s="19">
        <v>5.3937531616134998E-3</v>
      </c>
      <c r="Y13" s="19">
        <v>1.53044915025627E-3</v>
      </c>
    </row>
    <row r="14" spans="2:25" x14ac:dyDescent="0.35">
      <c r="B14" s="16" t="s">
        <v>538</v>
      </c>
    </row>
    <row r="15" spans="2:25" x14ac:dyDescent="0.35">
      <c r="B15" t="s">
        <v>51</v>
      </c>
    </row>
    <row r="16" spans="2:25" x14ac:dyDescent="0.35">
      <c r="B16" t="s">
        <v>52</v>
      </c>
    </row>
    <row r="18" spans="2:2" x14ac:dyDescent="0.35">
      <c r="B18" s="8" t="str">
        <f>HYPERLINK("#'Contents'!A1", "Return to Contents")</f>
        <v>Return to Contents</v>
      </c>
    </row>
  </sheetData>
  <mergeCells count="5">
    <mergeCell ref="D5:E5"/>
    <mergeCell ref="G5:L5"/>
    <mergeCell ref="N5:V5"/>
    <mergeCell ref="X5:Y5"/>
    <mergeCell ref="D2:W2"/>
  </mergeCells>
  <pageMargins left="0.7" right="0.7" top="0.75" bottom="0.75" header="0.3" footer="0.3"/>
  <pageSetup paperSize="9" orientation="portrait" horizontalDpi="300" verticalDpi="300"/>
  <drawing r:id="rId1"/>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700-000000000000}">
  <dimension ref="B2:Y18"/>
  <sheetViews>
    <sheetView showGridLines="0" workbookViewId="0">
      <pane xSplit="2" topLeftCell="C1" activePane="topRight" state="frozen"/>
      <selection pane="topRight" activeCell="B14" sqref="B14"/>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s>
  <sheetData>
    <row r="2" spans="2:25" ht="40" customHeight="1" x14ac:dyDescent="0.35">
      <c r="D2" s="30" t="s">
        <v>408</v>
      </c>
      <c r="E2" s="26"/>
      <c r="F2" s="26"/>
      <c r="G2" s="26"/>
      <c r="H2" s="26"/>
      <c r="I2" s="26"/>
      <c r="J2" s="26"/>
      <c r="K2" s="26"/>
      <c r="L2" s="26"/>
      <c r="M2" s="26"/>
      <c r="N2" s="26"/>
      <c r="O2" s="26"/>
      <c r="P2" s="26"/>
      <c r="Q2" s="26"/>
      <c r="R2" s="26"/>
      <c r="S2" s="26"/>
      <c r="T2" s="26"/>
      <c r="U2" s="26"/>
      <c r="V2" s="26"/>
      <c r="W2" s="26"/>
    </row>
    <row r="5" spans="2:25" ht="30" customHeight="1" x14ac:dyDescent="0.35">
      <c r="B5" s="15"/>
      <c r="C5" s="15"/>
      <c r="D5" s="29" t="s">
        <v>38</v>
      </c>
      <c r="E5" s="29"/>
      <c r="F5" s="15"/>
      <c r="G5" s="29" t="s">
        <v>39</v>
      </c>
      <c r="H5" s="29"/>
      <c r="I5" s="29"/>
      <c r="J5" s="29"/>
      <c r="K5" s="29"/>
      <c r="L5" s="29"/>
      <c r="M5" s="15"/>
      <c r="N5" s="29" t="s">
        <v>40</v>
      </c>
      <c r="O5" s="29"/>
      <c r="P5" s="29"/>
      <c r="Q5" s="29"/>
      <c r="R5" s="29"/>
      <c r="S5" s="29"/>
      <c r="T5" s="29"/>
      <c r="U5" s="29"/>
      <c r="V5" s="29"/>
      <c r="W5" s="15"/>
      <c r="X5" s="29" t="s">
        <v>41</v>
      </c>
      <c r="Y5" s="29"/>
    </row>
    <row r="6" spans="2:25" ht="29"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row>
    <row r="7" spans="2:25" ht="30" customHeight="1" x14ac:dyDescent="0.35">
      <c r="B7" s="10" t="s">
        <v>19</v>
      </c>
      <c r="C7" s="10">
        <v>1437</v>
      </c>
      <c r="D7" s="10">
        <v>738</v>
      </c>
      <c r="E7" s="10">
        <v>696</v>
      </c>
      <c r="F7" s="10"/>
      <c r="G7" s="10">
        <v>167</v>
      </c>
      <c r="H7" s="10">
        <v>227</v>
      </c>
      <c r="I7" s="10">
        <v>232</v>
      </c>
      <c r="J7" s="10">
        <v>268</v>
      </c>
      <c r="K7" s="10">
        <v>241</v>
      </c>
      <c r="L7" s="10">
        <v>302</v>
      </c>
      <c r="M7" s="10"/>
      <c r="N7" s="10">
        <v>57</v>
      </c>
      <c r="O7" s="10">
        <v>99</v>
      </c>
      <c r="P7" s="10">
        <v>222</v>
      </c>
      <c r="Q7" s="10">
        <v>199</v>
      </c>
      <c r="R7" s="10">
        <v>133</v>
      </c>
      <c r="S7" s="10">
        <v>264</v>
      </c>
      <c r="T7" s="10">
        <v>121</v>
      </c>
      <c r="U7" s="10">
        <v>237</v>
      </c>
      <c r="V7" s="10">
        <v>105</v>
      </c>
      <c r="W7" s="10"/>
      <c r="X7" s="10">
        <v>725</v>
      </c>
      <c r="Y7" s="10">
        <v>712</v>
      </c>
    </row>
    <row r="8" spans="2:25" ht="30" customHeight="1" x14ac:dyDescent="0.35">
      <c r="B8" s="11" t="s">
        <v>20</v>
      </c>
      <c r="C8" s="11">
        <v>1409</v>
      </c>
      <c r="D8" s="11">
        <v>739</v>
      </c>
      <c r="E8" s="11">
        <v>667</v>
      </c>
      <c r="F8" s="11"/>
      <c r="G8" s="11">
        <v>171</v>
      </c>
      <c r="H8" s="11">
        <v>214</v>
      </c>
      <c r="I8" s="11">
        <v>235</v>
      </c>
      <c r="J8" s="11">
        <v>251</v>
      </c>
      <c r="K8" s="11">
        <v>232</v>
      </c>
      <c r="L8" s="11">
        <v>306</v>
      </c>
      <c r="M8" s="11"/>
      <c r="N8" s="11">
        <v>57</v>
      </c>
      <c r="O8" s="11">
        <v>101</v>
      </c>
      <c r="P8" s="11">
        <v>217</v>
      </c>
      <c r="Q8" s="11">
        <v>200</v>
      </c>
      <c r="R8" s="11">
        <v>124</v>
      </c>
      <c r="S8" s="11">
        <v>268</v>
      </c>
      <c r="T8" s="11">
        <v>118</v>
      </c>
      <c r="U8" s="11">
        <v>219</v>
      </c>
      <c r="V8" s="11">
        <v>105</v>
      </c>
      <c r="W8" s="11"/>
      <c r="X8" s="11">
        <v>669</v>
      </c>
      <c r="Y8" s="11">
        <v>741</v>
      </c>
    </row>
    <row r="9" spans="2:25" x14ac:dyDescent="0.35">
      <c r="B9" s="18" t="s">
        <v>396</v>
      </c>
      <c r="C9" s="17">
        <v>0.57746286733693897</v>
      </c>
      <c r="D9" s="17">
        <v>0.55036879515478798</v>
      </c>
      <c r="E9" s="17">
        <v>0.608552139309122</v>
      </c>
      <c r="F9" s="17"/>
      <c r="G9" s="17">
        <v>0.54574383153012795</v>
      </c>
      <c r="H9" s="17">
        <v>0.52729219874393096</v>
      </c>
      <c r="I9" s="17">
        <v>0.58709587375044403</v>
      </c>
      <c r="J9" s="17">
        <v>0.62071236561684995</v>
      </c>
      <c r="K9" s="17">
        <v>0.59894850773175301</v>
      </c>
      <c r="L9" s="17">
        <v>0.57123948261137003</v>
      </c>
      <c r="M9" s="17"/>
      <c r="N9" s="17">
        <v>0.54533985340802704</v>
      </c>
      <c r="O9" s="17">
        <v>0.77242144126289303</v>
      </c>
      <c r="P9" s="17">
        <v>0.66744401117611596</v>
      </c>
      <c r="Q9" s="17">
        <v>0.43890582795163202</v>
      </c>
      <c r="R9" s="17">
        <v>0.57072387077039899</v>
      </c>
      <c r="S9" s="17">
        <v>0.60288493752815997</v>
      </c>
      <c r="T9" s="17">
        <v>0.51905201533746503</v>
      </c>
      <c r="U9" s="17">
        <v>0.53288464737242702</v>
      </c>
      <c r="V9" s="17">
        <v>0.586893169677836</v>
      </c>
      <c r="W9" s="17"/>
      <c r="X9" s="17">
        <v>0.58454281143305797</v>
      </c>
      <c r="Y9" s="17">
        <v>0.57107191902467702</v>
      </c>
    </row>
    <row r="10" spans="2:25" x14ac:dyDescent="0.35">
      <c r="B10" s="18" t="s">
        <v>397</v>
      </c>
      <c r="C10" s="17">
        <v>0.33895096457398999</v>
      </c>
      <c r="D10" s="17">
        <v>0.34563118243560798</v>
      </c>
      <c r="E10" s="17">
        <v>0.33136566284468</v>
      </c>
      <c r="F10" s="17"/>
      <c r="G10" s="17">
        <v>0.35183508420408199</v>
      </c>
      <c r="H10" s="17">
        <v>0.37938945304272198</v>
      </c>
      <c r="I10" s="17">
        <v>0.35376603339460799</v>
      </c>
      <c r="J10" s="17">
        <v>0.27821485574189903</v>
      </c>
      <c r="K10" s="17">
        <v>0.30378293618838897</v>
      </c>
      <c r="L10" s="17">
        <v>0.368451219020552</v>
      </c>
      <c r="M10" s="17"/>
      <c r="N10" s="17">
        <v>0.37647125660360198</v>
      </c>
      <c r="O10" s="17">
        <v>0.227578558737108</v>
      </c>
      <c r="P10" s="17">
        <v>0.29363292860795298</v>
      </c>
      <c r="Q10" s="17">
        <v>0.33696102802664502</v>
      </c>
      <c r="R10" s="17">
        <v>0.353741632652537</v>
      </c>
      <c r="S10" s="17">
        <v>0.32747348301206702</v>
      </c>
      <c r="T10" s="17">
        <v>0.41152764297074401</v>
      </c>
      <c r="U10" s="17">
        <v>0.40784795214375602</v>
      </c>
      <c r="V10" s="17">
        <v>0.30982450122597699</v>
      </c>
      <c r="W10" s="17"/>
      <c r="X10" s="17">
        <v>0.322909397563998</v>
      </c>
      <c r="Y10" s="17">
        <v>0.353431421512169</v>
      </c>
    </row>
    <row r="11" spans="2:25" x14ac:dyDescent="0.35">
      <c r="B11" s="18" t="s">
        <v>398</v>
      </c>
      <c r="C11" s="17">
        <v>6.2846157704211897E-2</v>
      </c>
      <c r="D11" s="17">
        <v>7.8350808060268895E-2</v>
      </c>
      <c r="E11" s="17">
        <v>4.4696607697902499E-2</v>
      </c>
      <c r="F11" s="17"/>
      <c r="G11" s="17">
        <v>7.6034263696750801E-2</v>
      </c>
      <c r="H11" s="17">
        <v>7.01776154126936E-2</v>
      </c>
      <c r="I11" s="17">
        <v>4.9951017693809198E-2</v>
      </c>
      <c r="J11" s="17">
        <v>7.7918751271123493E-2</v>
      </c>
      <c r="K11" s="17">
        <v>7.1635465574538801E-2</v>
      </c>
      <c r="L11" s="17">
        <v>4.1224602096444997E-2</v>
      </c>
      <c r="M11" s="17"/>
      <c r="N11" s="17">
        <v>5.5552212623597497E-2</v>
      </c>
      <c r="O11" s="17">
        <v>0</v>
      </c>
      <c r="P11" s="17">
        <v>2.9772411585493399E-2</v>
      </c>
      <c r="Q11" s="17">
        <v>0.16652361769153401</v>
      </c>
      <c r="R11" s="17">
        <v>5.3172764741503599E-2</v>
      </c>
      <c r="S11" s="17">
        <v>6.2573997593337094E-2</v>
      </c>
      <c r="T11" s="17">
        <v>4.7504337396454301E-2</v>
      </c>
      <c r="U11" s="17">
        <v>5.1277392065499298E-2</v>
      </c>
      <c r="V11" s="17">
        <v>5.1623015058194499E-2</v>
      </c>
      <c r="W11" s="17"/>
      <c r="X11" s="17">
        <v>6.65232114284946E-2</v>
      </c>
      <c r="Y11" s="17">
        <v>5.9526942188628001E-2</v>
      </c>
    </row>
    <row r="12" spans="2:25" x14ac:dyDescent="0.35">
      <c r="B12" s="18" t="s">
        <v>399</v>
      </c>
      <c r="C12" s="17">
        <v>1.57200752098757E-2</v>
      </c>
      <c r="D12" s="17">
        <v>1.6925303775783301E-2</v>
      </c>
      <c r="E12" s="17">
        <v>1.44520051708075E-2</v>
      </c>
      <c r="F12" s="17"/>
      <c r="G12" s="17">
        <v>2.6386820569038998E-2</v>
      </c>
      <c r="H12" s="17">
        <v>1.8871712449501098E-2</v>
      </c>
      <c r="I12" s="17">
        <v>9.1870751611379999E-3</v>
      </c>
      <c r="J12" s="17">
        <v>1.2921268509588701E-2</v>
      </c>
      <c r="K12" s="17">
        <v>1.4983190327645699E-2</v>
      </c>
      <c r="L12" s="17">
        <v>1.54068372291525E-2</v>
      </c>
      <c r="M12" s="17"/>
      <c r="N12" s="17">
        <v>2.2636677364773899E-2</v>
      </c>
      <c r="O12" s="17">
        <v>0</v>
      </c>
      <c r="P12" s="17">
        <v>4.9963321950168404E-3</v>
      </c>
      <c r="Q12" s="17">
        <v>4.22185287502733E-2</v>
      </c>
      <c r="R12" s="17">
        <v>9.8465124035517406E-3</v>
      </c>
      <c r="S12" s="17">
        <v>7.06758186643621E-3</v>
      </c>
      <c r="T12" s="17">
        <v>1.4142706308653E-2</v>
      </c>
      <c r="U12" s="17">
        <v>5.1524230015536797E-3</v>
      </c>
      <c r="V12" s="17">
        <v>5.1659314037992399E-2</v>
      </c>
      <c r="W12" s="17"/>
      <c r="X12" s="17">
        <v>1.9455165740638599E-2</v>
      </c>
      <c r="Y12" s="17">
        <v>1.23484708300029E-2</v>
      </c>
    </row>
    <row r="13" spans="2:25" x14ac:dyDescent="0.35">
      <c r="B13" s="18" t="s">
        <v>400</v>
      </c>
      <c r="C13" s="19">
        <v>5.0199351749834302E-3</v>
      </c>
      <c r="D13" s="19">
        <v>8.7239105735523095E-3</v>
      </c>
      <c r="E13" s="19">
        <v>9.3358497748817395E-4</v>
      </c>
      <c r="F13" s="19"/>
      <c r="G13" s="19">
        <v>0</v>
      </c>
      <c r="H13" s="19">
        <v>4.2690203511525603E-3</v>
      </c>
      <c r="I13" s="19">
        <v>0</v>
      </c>
      <c r="J13" s="19">
        <v>1.0232758860538999E-2</v>
      </c>
      <c r="K13" s="19">
        <v>1.06499001776736E-2</v>
      </c>
      <c r="L13" s="19">
        <v>3.67785904247996E-3</v>
      </c>
      <c r="M13" s="19"/>
      <c r="N13" s="19">
        <v>0</v>
      </c>
      <c r="O13" s="19">
        <v>0</v>
      </c>
      <c r="P13" s="19">
        <v>4.1543164354207601E-3</v>
      </c>
      <c r="Q13" s="19">
        <v>1.5390997579916301E-2</v>
      </c>
      <c r="R13" s="19">
        <v>1.2515219432009001E-2</v>
      </c>
      <c r="S13" s="19">
        <v>0</v>
      </c>
      <c r="T13" s="19">
        <v>7.7732979866844999E-3</v>
      </c>
      <c r="U13" s="19">
        <v>2.8375854167646602E-3</v>
      </c>
      <c r="V13" s="19">
        <v>0</v>
      </c>
      <c r="W13" s="19"/>
      <c r="X13" s="19">
        <v>6.5694138338116097E-3</v>
      </c>
      <c r="Y13" s="19">
        <v>3.6212464445238299E-3</v>
      </c>
    </row>
    <row r="14" spans="2:25" x14ac:dyDescent="0.35">
      <c r="B14" s="16" t="s">
        <v>538</v>
      </c>
    </row>
    <row r="15" spans="2:25" x14ac:dyDescent="0.35">
      <c r="B15" t="s">
        <v>51</v>
      </c>
    </row>
    <row r="16" spans="2:25" x14ac:dyDescent="0.35">
      <c r="B16" t="s">
        <v>52</v>
      </c>
    </row>
    <row r="18" spans="2:2" x14ac:dyDescent="0.35">
      <c r="B18" s="8" t="str">
        <f>HYPERLINK("#'Contents'!A1", "Return to Contents")</f>
        <v>Return to Contents</v>
      </c>
    </row>
  </sheetData>
  <mergeCells count="5">
    <mergeCell ref="D5:E5"/>
    <mergeCell ref="G5:L5"/>
    <mergeCell ref="N5:V5"/>
    <mergeCell ref="X5:Y5"/>
    <mergeCell ref="D2:W2"/>
  </mergeCells>
  <pageMargins left="0.7" right="0.7" top="0.75" bottom="0.75" header="0.3" footer="0.3"/>
  <pageSetup paperSize="9" orientation="portrait" horizontalDpi="300" verticalDpi="300"/>
  <drawing r:id="rId1"/>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800-000000000000}">
  <dimension ref="B2:Y18"/>
  <sheetViews>
    <sheetView showGridLines="0" workbookViewId="0">
      <pane xSplit="2" topLeftCell="C1" activePane="topRight" state="frozen"/>
      <selection pane="topRight" activeCell="B14" sqref="B14"/>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s>
  <sheetData>
    <row r="2" spans="2:25" ht="40" customHeight="1" x14ac:dyDescent="0.35">
      <c r="D2" s="30" t="s">
        <v>409</v>
      </c>
      <c r="E2" s="26"/>
      <c r="F2" s="26"/>
      <c r="G2" s="26"/>
      <c r="H2" s="26"/>
      <c r="I2" s="26"/>
      <c r="J2" s="26"/>
      <c r="K2" s="26"/>
      <c r="L2" s="26"/>
      <c r="M2" s="26"/>
      <c r="N2" s="26"/>
      <c r="O2" s="26"/>
      <c r="P2" s="26"/>
      <c r="Q2" s="26"/>
      <c r="R2" s="26"/>
      <c r="S2" s="26"/>
      <c r="T2" s="26"/>
      <c r="U2" s="26"/>
      <c r="V2" s="26"/>
      <c r="W2" s="26"/>
    </row>
    <row r="5" spans="2:25" ht="30" customHeight="1" x14ac:dyDescent="0.35">
      <c r="B5" s="15"/>
      <c r="C5" s="15"/>
      <c r="D5" s="29" t="s">
        <v>38</v>
      </c>
      <c r="E5" s="29"/>
      <c r="F5" s="15"/>
      <c r="G5" s="29" t="s">
        <v>39</v>
      </c>
      <c r="H5" s="29"/>
      <c r="I5" s="29"/>
      <c r="J5" s="29"/>
      <c r="K5" s="29"/>
      <c r="L5" s="29"/>
      <c r="M5" s="15"/>
      <c r="N5" s="29" t="s">
        <v>40</v>
      </c>
      <c r="O5" s="29"/>
      <c r="P5" s="29"/>
      <c r="Q5" s="29"/>
      <c r="R5" s="29"/>
      <c r="S5" s="29"/>
      <c r="T5" s="29"/>
      <c r="U5" s="29"/>
      <c r="V5" s="29"/>
      <c r="W5" s="15"/>
      <c r="X5" s="29" t="s">
        <v>41</v>
      </c>
      <c r="Y5" s="29"/>
    </row>
    <row r="6" spans="2:25" ht="29"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row>
    <row r="7" spans="2:25" ht="30" customHeight="1" x14ac:dyDescent="0.35">
      <c r="B7" s="10" t="s">
        <v>19</v>
      </c>
      <c r="C7" s="10">
        <v>648</v>
      </c>
      <c r="D7" s="10">
        <v>342</v>
      </c>
      <c r="E7" s="10">
        <v>305</v>
      </c>
      <c r="F7" s="10"/>
      <c r="G7" s="10">
        <v>93</v>
      </c>
      <c r="H7" s="10">
        <v>117</v>
      </c>
      <c r="I7" s="10">
        <v>108</v>
      </c>
      <c r="J7" s="10">
        <v>93</v>
      </c>
      <c r="K7" s="10">
        <v>95</v>
      </c>
      <c r="L7" s="10">
        <v>142</v>
      </c>
      <c r="M7" s="10"/>
      <c r="N7" s="10">
        <v>9</v>
      </c>
      <c r="O7" s="10">
        <v>11</v>
      </c>
      <c r="P7" s="10">
        <v>89</v>
      </c>
      <c r="Q7" s="10">
        <v>201</v>
      </c>
      <c r="R7" s="10">
        <v>40</v>
      </c>
      <c r="S7" s="10">
        <v>92</v>
      </c>
      <c r="T7" s="10">
        <v>80</v>
      </c>
      <c r="U7" s="10">
        <v>100</v>
      </c>
      <c r="V7" s="10">
        <v>26</v>
      </c>
      <c r="W7" s="10"/>
      <c r="X7" s="10">
        <v>285</v>
      </c>
      <c r="Y7" s="10">
        <v>363</v>
      </c>
    </row>
    <row r="8" spans="2:25" ht="30" customHeight="1" x14ac:dyDescent="0.35">
      <c r="B8" s="11" t="s">
        <v>20</v>
      </c>
      <c r="C8" s="11">
        <v>645</v>
      </c>
      <c r="D8" s="11">
        <v>345</v>
      </c>
      <c r="E8" s="11">
        <v>299</v>
      </c>
      <c r="F8" s="11"/>
      <c r="G8" s="11">
        <v>94</v>
      </c>
      <c r="H8" s="11">
        <v>117</v>
      </c>
      <c r="I8" s="11">
        <v>109</v>
      </c>
      <c r="J8" s="11">
        <v>88</v>
      </c>
      <c r="K8" s="11">
        <v>91</v>
      </c>
      <c r="L8" s="11">
        <v>146</v>
      </c>
      <c r="M8" s="11"/>
      <c r="N8" s="11">
        <v>9</v>
      </c>
      <c r="O8" s="11">
        <v>8</v>
      </c>
      <c r="P8" s="11">
        <v>90</v>
      </c>
      <c r="Q8" s="11">
        <v>203</v>
      </c>
      <c r="R8" s="11">
        <v>38</v>
      </c>
      <c r="S8" s="11">
        <v>97</v>
      </c>
      <c r="T8" s="11">
        <v>81</v>
      </c>
      <c r="U8" s="11">
        <v>92</v>
      </c>
      <c r="V8" s="11">
        <v>25</v>
      </c>
      <c r="W8" s="11"/>
      <c r="X8" s="11">
        <v>264</v>
      </c>
      <c r="Y8" s="11">
        <v>381</v>
      </c>
    </row>
    <row r="9" spans="2:25" x14ac:dyDescent="0.35">
      <c r="B9" s="18" t="s">
        <v>396</v>
      </c>
      <c r="C9" s="17">
        <v>0.43743989516495602</v>
      </c>
      <c r="D9" s="17">
        <v>0.44682307872842097</v>
      </c>
      <c r="E9" s="17">
        <v>0.428244802976395</v>
      </c>
      <c r="F9" s="17"/>
      <c r="G9" s="17">
        <v>0.37678574348351601</v>
      </c>
      <c r="H9" s="17">
        <v>0.33895283618689898</v>
      </c>
      <c r="I9" s="17">
        <v>0.497229799782338</v>
      </c>
      <c r="J9" s="17">
        <v>0.457847043914278</v>
      </c>
      <c r="K9" s="17">
        <v>0.53618891307430705</v>
      </c>
      <c r="L9" s="17">
        <v>0.436811017296863</v>
      </c>
      <c r="M9" s="17"/>
      <c r="N9" s="17">
        <v>0.54992352147212298</v>
      </c>
      <c r="O9" s="17">
        <v>0.55151807736490399</v>
      </c>
      <c r="P9" s="17">
        <v>0.408510297395282</v>
      </c>
      <c r="Q9" s="17">
        <v>0.42089048282975999</v>
      </c>
      <c r="R9" s="17">
        <v>0.50990148378071898</v>
      </c>
      <c r="S9" s="17">
        <v>0.35143558656559998</v>
      </c>
      <c r="T9" s="17">
        <v>0.50422679563038997</v>
      </c>
      <c r="U9" s="17">
        <v>0.47506740061194003</v>
      </c>
      <c r="V9" s="17">
        <v>0.46653904203059599</v>
      </c>
      <c r="W9" s="17"/>
      <c r="X9" s="17">
        <v>0.44442026724857298</v>
      </c>
      <c r="Y9" s="17">
        <v>0.43260667398802399</v>
      </c>
    </row>
    <row r="10" spans="2:25" x14ac:dyDescent="0.35">
      <c r="B10" s="18" t="s">
        <v>397</v>
      </c>
      <c r="C10" s="17">
        <v>0.36278465740572302</v>
      </c>
      <c r="D10" s="17">
        <v>0.34633798000257299</v>
      </c>
      <c r="E10" s="17">
        <v>0.383076144043696</v>
      </c>
      <c r="F10" s="17"/>
      <c r="G10" s="17">
        <v>0.38958944542256702</v>
      </c>
      <c r="H10" s="17">
        <v>0.39505522841399798</v>
      </c>
      <c r="I10" s="17">
        <v>0.35681425874442801</v>
      </c>
      <c r="J10" s="17">
        <v>0.39956931270380103</v>
      </c>
      <c r="K10" s="17">
        <v>0.351209956387313</v>
      </c>
      <c r="L10" s="17">
        <v>0.30900059115821299</v>
      </c>
      <c r="M10" s="17"/>
      <c r="N10" s="17">
        <v>0.35798632121413498</v>
      </c>
      <c r="O10" s="17">
        <v>0.16116474038583201</v>
      </c>
      <c r="P10" s="17">
        <v>0.35813656761302398</v>
      </c>
      <c r="Q10" s="17">
        <v>0.34271694394793201</v>
      </c>
      <c r="R10" s="17">
        <v>0.399288263916181</v>
      </c>
      <c r="S10" s="17">
        <v>0.42008301668866199</v>
      </c>
      <c r="T10" s="17">
        <v>0.34771550688413599</v>
      </c>
      <c r="U10" s="17">
        <v>0.34033844399195401</v>
      </c>
      <c r="V10" s="17">
        <v>0.46132517439953102</v>
      </c>
      <c r="W10" s="17"/>
      <c r="X10" s="17">
        <v>0.34128139964377402</v>
      </c>
      <c r="Y10" s="17">
        <v>0.377673548648644</v>
      </c>
    </row>
    <row r="11" spans="2:25" x14ac:dyDescent="0.35">
      <c r="B11" s="18" t="s">
        <v>398</v>
      </c>
      <c r="C11" s="17">
        <v>0.16449516912377399</v>
      </c>
      <c r="D11" s="17">
        <v>0.177748214544757</v>
      </c>
      <c r="E11" s="17">
        <v>0.14613646694000401</v>
      </c>
      <c r="F11" s="17"/>
      <c r="G11" s="17">
        <v>0.17858685930075599</v>
      </c>
      <c r="H11" s="17">
        <v>0.223879289720954</v>
      </c>
      <c r="I11" s="17">
        <v>0.100606600429482</v>
      </c>
      <c r="J11" s="17">
        <v>0.121954434549936</v>
      </c>
      <c r="K11" s="17">
        <v>0.10139593589736801</v>
      </c>
      <c r="L11" s="17">
        <v>0.22079454444930199</v>
      </c>
      <c r="M11" s="17"/>
      <c r="N11" s="17">
        <v>0</v>
      </c>
      <c r="O11" s="17">
        <v>0.287317182249264</v>
      </c>
      <c r="P11" s="17">
        <v>0.15483170624172701</v>
      </c>
      <c r="Q11" s="17">
        <v>0.21034138940368699</v>
      </c>
      <c r="R11" s="17">
        <v>9.0810252303100095E-2</v>
      </c>
      <c r="S11" s="17">
        <v>0.19661925941476199</v>
      </c>
      <c r="T11" s="17">
        <v>0.13566203856103701</v>
      </c>
      <c r="U11" s="17">
        <v>0.12549131124159199</v>
      </c>
      <c r="V11" s="17">
        <v>7.2135783569873005E-2</v>
      </c>
      <c r="W11" s="17"/>
      <c r="X11" s="17">
        <v>0.17374474864860501</v>
      </c>
      <c r="Y11" s="17">
        <v>0.158090744961048</v>
      </c>
    </row>
    <row r="12" spans="2:25" x14ac:dyDescent="0.35">
      <c r="B12" s="18" t="s">
        <v>399</v>
      </c>
      <c r="C12" s="17">
        <v>2.3383148887870499E-2</v>
      </c>
      <c r="D12" s="17">
        <v>1.5651140147955801E-2</v>
      </c>
      <c r="E12" s="17">
        <v>3.2378785359855999E-2</v>
      </c>
      <c r="F12" s="17"/>
      <c r="G12" s="17">
        <v>5.50379517931609E-2</v>
      </c>
      <c r="H12" s="17">
        <v>2.5753393126387799E-2</v>
      </c>
      <c r="I12" s="17">
        <v>2.41971299448074E-2</v>
      </c>
      <c r="J12" s="17">
        <v>1.1381883710792901E-2</v>
      </c>
      <c r="K12" s="17">
        <v>1.1205194641011801E-2</v>
      </c>
      <c r="L12" s="17">
        <v>1.52584510051859E-2</v>
      </c>
      <c r="M12" s="17"/>
      <c r="N12" s="17">
        <v>0</v>
      </c>
      <c r="O12" s="17">
        <v>0</v>
      </c>
      <c r="P12" s="17">
        <v>5.85152007030618E-2</v>
      </c>
      <c r="Q12" s="17">
        <v>2.60511838186211E-2</v>
      </c>
      <c r="R12" s="17">
        <v>0</v>
      </c>
      <c r="S12" s="17">
        <v>1.1677493770263701E-2</v>
      </c>
      <c r="T12" s="17">
        <v>1.23956589244357E-2</v>
      </c>
      <c r="U12" s="17">
        <v>2.5810213652039199E-2</v>
      </c>
      <c r="V12" s="17">
        <v>0</v>
      </c>
      <c r="W12" s="17"/>
      <c r="X12" s="17">
        <v>2.7164375914963401E-2</v>
      </c>
      <c r="Y12" s="17">
        <v>2.07650210397822E-2</v>
      </c>
    </row>
    <row r="13" spans="2:25" x14ac:dyDescent="0.35">
      <c r="B13" s="18" t="s">
        <v>400</v>
      </c>
      <c r="C13" s="19">
        <v>1.1897129417675701E-2</v>
      </c>
      <c r="D13" s="19">
        <v>1.3439586576292999E-2</v>
      </c>
      <c r="E13" s="19">
        <v>1.0163800680049E-2</v>
      </c>
      <c r="F13" s="19"/>
      <c r="G13" s="19">
        <v>0</v>
      </c>
      <c r="H13" s="19">
        <v>1.6359252551760899E-2</v>
      </c>
      <c r="I13" s="19">
        <v>2.1152211098944398E-2</v>
      </c>
      <c r="J13" s="19">
        <v>9.2473251211911793E-3</v>
      </c>
      <c r="K13" s="19">
        <v>0</v>
      </c>
      <c r="L13" s="19">
        <v>1.8135396090435799E-2</v>
      </c>
      <c r="M13" s="19"/>
      <c r="N13" s="19">
        <v>9.2090157313742094E-2</v>
      </c>
      <c r="O13" s="19">
        <v>0</v>
      </c>
      <c r="P13" s="19">
        <v>2.00062280469048E-2</v>
      </c>
      <c r="Q13" s="19">
        <v>0</v>
      </c>
      <c r="R13" s="19">
        <v>0</v>
      </c>
      <c r="S13" s="19">
        <v>2.0184643560712E-2</v>
      </c>
      <c r="T13" s="19">
        <v>0</v>
      </c>
      <c r="U13" s="19">
        <v>3.32926305024746E-2</v>
      </c>
      <c r="V13" s="19">
        <v>0</v>
      </c>
      <c r="W13" s="19"/>
      <c r="X13" s="19">
        <v>1.3389208544083601E-2</v>
      </c>
      <c r="Y13" s="19">
        <v>1.0864011362502099E-2</v>
      </c>
    </row>
    <row r="14" spans="2:25" x14ac:dyDescent="0.35">
      <c r="B14" s="16" t="s">
        <v>538</v>
      </c>
    </row>
    <row r="15" spans="2:25" x14ac:dyDescent="0.35">
      <c r="B15" t="s">
        <v>51</v>
      </c>
    </row>
    <row r="16" spans="2:25" x14ac:dyDescent="0.35">
      <c r="B16" t="s">
        <v>52</v>
      </c>
    </row>
    <row r="18" spans="2:2" x14ac:dyDescent="0.35">
      <c r="B18" s="8" t="str">
        <f>HYPERLINK("#'Contents'!A1", "Return to Contents")</f>
        <v>Return to Contents</v>
      </c>
    </row>
  </sheetData>
  <mergeCells count="5">
    <mergeCell ref="D5:E5"/>
    <mergeCell ref="G5:L5"/>
    <mergeCell ref="N5:V5"/>
    <mergeCell ref="X5:Y5"/>
    <mergeCell ref="D2:W2"/>
  </mergeCells>
  <pageMargins left="0.7" right="0.7" top="0.75" bottom="0.75" header="0.3" footer="0.3"/>
  <pageSetup paperSize="9" orientation="portrait" horizontalDpi="300" verticalDpi="300"/>
  <drawing r:id="rId1"/>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900-000000000000}">
  <dimension ref="B2:Y15"/>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s>
  <sheetData>
    <row r="2" spans="2:25" ht="40" customHeight="1" x14ac:dyDescent="0.35">
      <c r="D2" s="30" t="s">
        <v>97</v>
      </c>
      <c r="E2" s="26"/>
      <c r="F2" s="26"/>
      <c r="G2" s="26"/>
      <c r="H2" s="26"/>
      <c r="I2" s="26"/>
      <c r="J2" s="26"/>
      <c r="K2" s="26"/>
      <c r="L2" s="26"/>
      <c r="M2" s="26"/>
      <c r="N2" s="26"/>
      <c r="O2" s="26"/>
      <c r="P2" s="26"/>
      <c r="Q2" s="26"/>
      <c r="R2" s="26"/>
      <c r="S2" s="26"/>
      <c r="T2" s="26"/>
      <c r="U2" s="26"/>
      <c r="V2" s="26"/>
      <c r="W2" s="26"/>
    </row>
    <row r="5" spans="2:25" ht="30" customHeight="1" x14ac:dyDescent="0.35">
      <c r="B5" s="15"/>
      <c r="C5" s="15"/>
      <c r="D5" s="29" t="s">
        <v>38</v>
      </c>
      <c r="E5" s="29"/>
      <c r="F5" s="15"/>
      <c r="G5" s="29" t="s">
        <v>39</v>
      </c>
      <c r="H5" s="29"/>
      <c r="I5" s="29"/>
      <c r="J5" s="29"/>
      <c r="K5" s="29"/>
      <c r="L5" s="29"/>
      <c r="M5" s="15"/>
      <c r="N5" s="29" t="s">
        <v>40</v>
      </c>
      <c r="O5" s="29"/>
      <c r="P5" s="29"/>
      <c r="Q5" s="29"/>
      <c r="R5" s="29"/>
      <c r="S5" s="29"/>
      <c r="T5" s="29"/>
      <c r="U5" s="29"/>
      <c r="V5" s="29"/>
      <c r="W5" s="15"/>
      <c r="X5" s="29" t="s">
        <v>41</v>
      </c>
      <c r="Y5" s="29"/>
    </row>
    <row r="6" spans="2:25" ht="29"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row>
    <row r="7" spans="2:25" ht="30" customHeight="1" x14ac:dyDescent="0.35">
      <c r="B7" s="10" t="s">
        <v>19</v>
      </c>
      <c r="C7" s="10">
        <v>6838</v>
      </c>
      <c r="D7" s="10">
        <v>3283</v>
      </c>
      <c r="E7" s="10">
        <v>3541</v>
      </c>
      <c r="F7" s="10"/>
      <c r="G7" s="10">
        <v>635</v>
      </c>
      <c r="H7" s="10">
        <v>1075</v>
      </c>
      <c r="I7" s="10">
        <v>1093</v>
      </c>
      <c r="J7" s="10">
        <v>1228</v>
      </c>
      <c r="K7" s="10">
        <v>1156</v>
      </c>
      <c r="L7" s="10">
        <v>1651</v>
      </c>
      <c r="M7" s="10"/>
      <c r="N7" s="10">
        <v>208</v>
      </c>
      <c r="O7" s="10">
        <v>200</v>
      </c>
      <c r="P7" s="10">
        <v>1002</v>
      </c>
      <c r="Q7" s="10">
        <v>1000</v>
      </c>
      <c r="R7" s="10">
        <v>1004</v>
      </c>
      <c r="S7" s="10">
        <v>1006</v>
      </c>
      <c r="T7" s="10">
        <v>1006</v>
      </c>
      <c r="U7" s="10">
        <v>1007</v>
      </c>
      <c r="V7" s="10">
        <v>405</v>
      </c>
      <c r="W7" s="10"/>
      <c r="X7" s="10">
        <v>2650</v>
      </c>
      <c r="Y7" s="10">
        <v>4188</v>
      </c>
    </row>
    <row r="8" spans="2:25" ht="30" customHeight="1" x14ac:dyDescent="0.35">
      <c r="B8" s="11" t="s">
        <v>20</v>
      </c>
      <c r="C8" s="11">
        <v>6838</v>
      </c>
      <c r="D8" s="11">
        <v>3309</v>
      </c>
      <c r="E8" s="11">
        <v>3515</v>
      </c>
      <c r="F8" s="11"/>
      <c r="G8" s="11">
        <v>645</v>
      </c>
      <c r="H8" s="11">
        <v>1026</v>
      </c>
      <c r="I8" s="11">
        <v>1111</v>
      </c>
      <c r="J8" s="11">
        <v>1184</v>
      </c>
      <c r="K8" s="11">
        <v>1140</v>
      </c>
      <c r="L8" s="11">
        <v>1732</v>
      </c>
      <c r="M8" s="11"/>
      <c r="N8" s="11">
        <v>208</v>
      </c>
      <c r="O8" s="11">
        <v>200</v>
      </c>
      <c r="P8" s="11">
        <v>1002</v>
      </c>
      <c r="Q8" s="11">
        <v>1000</v>
      </c>
      <c r="R8" s="11">
        <v>1004</v>
      </c>
      <c r="S8" s="11">
        <v>1006</v>
      </c>
      <c r="T8" s="11">
        <v>1006</v>
      </c>
      <c r="U8" s="11">
        <v>1007</v>
      </c>
      <c r="V8" s="11">
        <v>405</v>
      </c>
      <c r="W8" s="11"/>
      <c r="X8" s="11">
        <v>2436</v>
      </c>
      <c r="Y8" s="11">
        <v>4402</v>
      </c>
    </row>
    <row r="9" spans="2:25" ht="72.5" x14ac:dyDescent="0.35">
      <c r="B9" s="18" t="s">
        <v>410</v>
      </c>
      <c r="C9" s="17">
        <v>0.52600856120150397</v>
      </c>
      <c r="D9" s="17">
        <v>0.52289997417751599</v>
      </c>
      <c r="E9" s="17">
        <v>0.52915049457955499</v>
      </c>
      <c r="F9" s="17"/>
      <c r="G9" s="17">
        <v>0.49378450775470201</v>
      </c>
      <c r="H9" s="17">
        <v>0.52674995370245103</v>
      </c>
      <c r="I9" s="17">
        <v>0.51719547145947897</v>
      </c>
      <c r="J9" s="17">
        <v>0.51158110378330801</v>
      </c>
      <c r="K9" s="17">
        <v>0.53582241620113702</v>
      </c>
      <c r="L9" s="17">
        <v>0.54661424267895298</v>
      </c>
      <c r="M9" s="17"/>
      <c r="N9" s="17">
        <v>0.37207144871109199</v>
      </c>
      <c r="O9" s="17">
        <v>0.32960626364795498</v>
      </c>
      <c r="P9" s="17">
        <v>0.35619535458753299</v>
      </c>
      <c r="Q9" s="17">
        <v>0.72122286510149203</v>
      </c>
      <c r="R9" s="17">
        <v>0.63453540947924403</v>
      </c>
      <c r="S9" s="17">
        <v>0.33564732668942898</v>
      </c>
      <c r="T9" s="17">
        <v>0.56231950446074996</v>
      </c>
      <c r="U9" s="17">
        <v>0.660816647431681</v>
      </c>
      <c r="V9" s="17">
        <v>0.418600666217885</v>
      </c>
      <c r="W9" s="17"/>
      <c r="X9" s="17">
        <v>0.49579717260730299</v>
      </c>
      <c r="Y9" s="17">
        <v>0.54272653235051005</v>
      </c>
    </row>
    <row r="10" spans="2:25" ht="43.5" x14ac:dyDescent="0.35">
      <c r="B10" s="18" t="s">
        <v>411</v>
      </c>
      <c r="C10" s="19">
        <v>0.47399143879849598</v>
      </c>
      <c r="D10" s="19">
        <v>0.47710002582248401</v>
      </c>
      <c r="E10" s="19">
        <v>0.47084950542044501</v>
      </c>
      <c r="F10" s="19"/>
      <c r="G10" s="19">
        <v>0.50621549224529805</v>
      </c>
      <c r="H10" s="19">
        <v>0.47325004629754902</v>
      </c>
      <c r="I10" s="19">
        <v>0.48280452854052103</v>
      </c>
      <c r="J10" s="19">
        <v>0.48841889621669199</v>
      </c>
      <c r="K10" s="19">
        <v>0.46417758379886298</v>
      </c>
      <c r="L10" s="19">
        <v>0.45338575732104702</v>
      </c>
      <c r="M10" s="19"/>
      <c r="N10" s="19">
        <v>0.62792855128890801</v>
      </c>
      <c r="O10" s="19">
        <v>0.67039373635204502</v>
      </c>
      <c r="P10" s="19">
        <v>0.64380464541246696</v>
      </c>
      <c r="Q10" s="19">
        <v>0.27877713489850803</v>
      </c>
      <c r="R10" s="19">
        <v>0.36546459052075603</v>
      </c>
      <c r="S10" s="19">
        <v>0.66435267331057202</v>
      </c>
      <c r="T10" s="19">
        <v>0.43768049553924998</v>
      </c>
      <c r="U10" s="19">
        <v>0.339183352568319</v>
      </c>
      <c r="V10" s="19">
        <v>0.58139933378211495</v>
      </c>
      <c r="W10" s="19"/>
      <c r="X10" s="19">
        <v>0.50420282739269695</v>
      </c>
      <c r="Y10" s="19">
        <v>0.45727346764949001</v>
      </c>
    </row>
    <row r="11" spans="2:25" x14ac:dyDescent="0.35">
      <c r="B11" s="16"/>
    </row>
    <row r="12" spans="2:25" x14ac:dyDescent="0.35">
      <c r="B12" t="s">
        <v>51</v>
      </c>
    </row>
    <row r="13" spans="2:25" x14ac:dyDescent="0.35">
      <c r="B13" t="s">
        <v>52</v>
      </c>
    </row>
    <row r="15" spans="2:25" x14ac:dyDescent="0.35">
      <c r="B15" s="8" t="str">
        <f>HYPERLINK("#'Contents'!A1", "Return to Contents")</f>
        <v>Return to Contents</v>
      </c>
    </row>
  </sheetData>
  <mergeCells count="5">
    <mergeCell ref="D5:E5"/>
    <mergeCell ref="G5:L5"/>
    <mergeCell ref="N5:V5"/>
    <mergeCell ref="X5:Y5"/>
    <mergeCell ref="D2:W2"/>
  </mergeCells>
  <pageMargins left="0.7" right="0.7" top="0.75" bottom="0.75" header="0.3" footer="0.3"/>
  <pageSetup paperSize="9" orientation="portrait" horizontalDpi="300" verticalDpi="300"/>
  <drawing r:id="rId1"/>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A00-000000000000}">
  <dimension ref="B2:Y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s>
  <sheetData>
    <row r="2" spans="2:25" ht="40" customHeight="1" x14ac:dyDescent="0.35">
      <c r="D2" s="30" t="s">
        <v>417</v>
      </c>
      <c r="E2" s="26"/>
      <c r="F2" s="26"/>
      <c r="G2" s="26"/>
      <c r="H2" s="26"/>
      <c r="I2" s="26"/>
      <c r="J2" s="26"/>
      <c r="K2" s="26"/>
      <c r="L2" s="26"/>
      <c r="M2" s="26"/>
      <c r="N2" s="26"/>
      <c r="O2" s="26"/>
      <c r="P2" s="26"/>
      <c r="Q2" s="26"/>
      <c r="R2" s="26"/>
      <c r="S2" s="26"/>
      <c r="T2" s="26"/>
      <c r="U2" s="26"/>
      <c r="V2" s="26"/>
      <c r="W2" s="26"/>
    </row>
    <row r="5" spans="2:25" ht="30" customHeight="1" x14ac:dyDescent="0.35">
      <c r="B5" s="15"/>
      <c r="C5" s="15"/>
      <c r="D5" s="29" t="s">
        <v>38</v>
      </c>
      <c r="E5" s="29"/>
      <c r="F5" s="15"/>
      <c r="G5" s="29" t="s">
        <v>39</v>
      </c>
      <c r="H5" s="29"/>
      <c r="I5" s="29"/>
      <c r="J5" s="29"/>
      <c r="K5" s="29"/>
      <c r="L5" s="29"/>
      <c r="M5" s="15"/>
      <c r="N5" s="29" t="s">
        <v>40</v>
      </c>
      <c r="O5" s="29"/>
      <c r="P5" s="29"/>
      <c r="Q5" s="29"/>
      <c r="R5" s="29"/>
      <c r="S5" s="29"/>
      <c r="T5" s="29"/>
      <c r="U5" s="29"/>
      <c r="V5" s="29"/>
      <c r="W5" s="15"/>
      <c r="X5" s="29" t="s">
        <v>41</v>
      </c>
      <c r="Y5" s="29"/>
    </row>
    <row r="6" spans="2:25" ht="29"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row>
    <row r="7" spans="2:25" ht="30" customHeight="1" x14ac:dyDescent="0.35">
      <c r="B7" s="10" t="s">
        <v>19</v>
      </c>
      <c r="C7" s="10">
        <v>6838</v>
      </c>
      <c r="D7" s="10">
        <v>3283</v>
      </c>
      <c r="E7" s="10">
        <v>3541</v>
      </c>
      <c r="F7" s="10"/>
      <c r="G7" s="10">
        <v>635</v>
      </c>
      <c r="H7" s="10">
        <v>1075</v>
      </c>
      <c r="I7" s="10">
        <v>1093</v>
      </c>
      <c r="J7" s="10">
        <v>1228</v>
      </c>
      <c r="K7" s="10">
        <v>1156</v>
      </c>
      <c r="L7" s="10">
        <v>1651</v>
      </c>
      <c r="M7" s="10"/>
      <c r="N7" s="10">
        <v>208</v>
      </c>
      <c r="O7" s="10">
        <v>200</v>
      </c>
      <c r="P7" s="10">
        <v>1002</v>
      </c>
      <c r="Q7" s="10">
        <v>1000</v>
      </c>
      <c r="R7" s="10">
        <v>1004</v>
      </c>
      <c r="S7" s="10">
        <v>1006</v>
      </c>
      <c r="T7" s="10">
        <v>1006</v>
      </c>
      <c r="U7" s="10">
        <v>1007</v>
      </c>
      <c r="V7" s="10">
        <v>405</v>
      </c>
      <c r="W7" s="10"/>
      <c r="X7" s="10">
        <v>2650</v>
      </c>
      <c r="Y7" s="10">
        <v>4188</v>
      </c>
    </row>
    <row r="8" spans="2:25" ht="30" customHeight="1" x14ac:dyDescent="0.35">
      <c r="B8" s="11" t="s">
        <v>20</v>
      </c>
      <c r="C8" s="11">
        <v>6838</v>
      </c>
      <c r="D8" s="11">
        <v>3309</v>
      </c>
      <c r="E8" s="11">
        <v>3515</v>
      </c>
      <c r="F8" s="11"/>
      <c r="G8" s="11">
        <v>645</v>
      </c>
      <c r="H8" s="11">
        <v>1026</v>
      </c>
      <c r="I8" s="11">
        <v>1111</v>
      </c>
      <c r="J8" s="11">
        <v>1184</v>
      </c>
      <c r="K8" s="11">
        <v>1140</v>
      </c>
      <c r="L8" s="11">
        <v>1732</v>
      </c>
      <c r="M8" s="11"/>
      <c r="N8" s="11">
        <v>208</v>
      </c>
      <c r="O8" s="11">
        <v>200</v>
      </c>
      <c r="P8" s="11">
        <v>1002</v>
      </c>
      <c r="Q8" s="11">
        <v>1000</v>
      </c>
      <c r="R8" s="11">
        <v>1004</v>
      </c>
      <c r="S8" s="11">
        <v>1006</v>
      </c>
      <c r="T8" s="11">
        <v>1006</v>
      </c>
      <c r="U8" s="11">
        <v>1007</v>
      </c>
      <c r="V8" s="11">
        <v>405</v>
      </c>
      <c r="W8" s="11"/>
      <c r="X8" s="11">
        <v>2436</v>
      </c>
      <c r="Y8" s="11">
        <v>4402</v>
      </c>
    </row>
    <row r="9" spans="2:25" x14ac:dyDescent="0.35">
      <c r="B9" s="18" t="s">
        <v>412</v>
      </c>
      <c r="C9" s="17">
        <v>0.14809490130146499</v>
      </c>
      <c r="D9" s="17">
        <v>0.14625640828411501</v>
      </c>
      <c r="E9" s="17">
        <v>0.148937037823795</v>
      </c>
      <c r="F9" s="17"/>
      <c r="G9" s="17">
        <v>0.14163455732723099</v>
      </c>
      <c r="H9" s="17">
        <v>0.15673651614034401</v>
      </c>
      <c r="I9" s="17">
        <v>0.16776548567677699</v>
      </c>
      <c r="J9" s="17">
        <v>0.170320037915239</v>
      </c>
      <c r="K9" s="17">
        <v>0.14087096444560199</v>
      </c>
      <c r="L9" s="17">
        <v>0.122333052674267</v>
      </c>
      <c r="M9" s="17"/>
      <c r="N9" s="17">
        <v>0.17156871684175201</v>
      </c>
      <c r="O9" s="17">
        <v>7.0984199872979006E-2</v>
      </c>
      <c r="P9" s="17">
        <v>0.155862647968356</v>
      </c>
      <c r="Q9" s="17">
        <v>3.6835164017866302E-2</v>
      </c>
      <c r="R9" s="17">
        <v>0.40637984329396198</v>
      </c>
      <c r="S9" s="17">
        <v>0.116273051455201</v>
      </c>
      <c r="T9" s="17">
        <v>5.9923755993189998E-2</v>
      </c>
      <c r="U9" s="17">
        <v>0.11912239291417499</v>
      </c>
      <c r="V9" s="17">
        <v>0.159418923740204</v>
      </c>
      <c r="W9" s="17"/>
      <c r="X9" s="17">
        <v>0.14946591806943499</v>
      </c>
      <c r="Y9" s="17">
        <v>0.147336226515622</v>
      </c>
    </row>
    <row r="10" spans="2:25" x14ac:dyDescent="0.35">
      <c r="B10" s="18" t="s">
        <v>413</v>
      </c>
      <c r="C10" s="17">
        <v>0.39874884176529601</v>
      </c>
      <c r="D10" s="17">
        <v>0.40704933693359302</v>
      </c>
      <c r="E10" s="17">
        <v>0.391085832756153</v>
      </c>
      <c r="F10" s="17"/>
      <c r="G10" s="17">
        <v>0.45641010531944298</v>
      </c>
      <c r="H10" s="17">
        <v>0.39607536909789198</v>
      </c>
      <c r="I10" s="17">
        <v>0.42184430478139101</v>
      </c>
      <c r="J10" s="17">
        <v>0.40104256808526501</v>
      </c>
      <c r="K10" s="17">
        <v>0.38124301645770697</v>
      </c>
      <c r="L10" s="17">
        <v>0.37401365809258902</v>
      </c>
      <c r="M10" s="17"/>
      <c r="N10" s="17">
        <v>0.42263358535414602</v>
      </c>
      <c r="O10" s="17">
        <v>0.58573623477657699</v>
      </c>
      <c r="P10" s="17">
        <v>0.48776860710562803</v>
      </c>
      <c r="Q10" s="17">
        <v>0.230788812917156</v>
      </c>
      <c r="R10" s="17">
        <v>0.39352520368430099</v>
      </c>
      <c r="S10" s="17">
        <v>0.46315864716730099</v>
      </c>
      <c r="T10" s="17">
        <v>0.38015627313187</v>
      </c>
      <c r="U10" s="17">
        <v>0.36689017344457397</v>
      </c>
      <c r="V10" s="17">
        <v>0.46697301497883598</v>
      </c>
      <c r="W10" s="17"/>
      <c r="X10" s="17">
        <v>0.42817890635004202</v>
      </c>
      <c r="Y10" s="17">
        <v>0.38246322916900399</v>
      </c>
    </row>
    <row r="11" spans="2:25" x14ac:dyDescent="0.35">
      <c r="B11" s="18" t="s">
        <v>414</v>
      </c>
      <c r="C11" s="17">
        <v>0.25757629057457698</v>
      </c>
      <c r="D11" s="17">
        <v>0.24522122758581399</v>
      </c>
      <c r="E11" s="17">
        <v>0.26992361112006302</v>
      </c>
      <c r="F11" s="17"/>
      <c r="G11" s="17">
        <v>0.27040784382926197</v>
      </c>
      <c r="H11" s="17">
        <v>0.25656122043169899</v>
      </c>
      <c r="I11" s="17">
        <v>0.23356616894731699</v>
      </c>
      <c r="J11" s="17">
        <v>0.24575755088520501</v>
      </c>
      <c r="K11" s="17">
        <v>0.268392420708783</v>
      </c>
      <c r="L11" s="17">
        <v>0.26976027028184202</v>
      </c>
      <c r="M11" s="17"/>
      <c r="N11" s="17">
        <v>0.20962071816785199</v>
      </c>
      <c r="O11" s="17">
        <v>0.15921504458701799</v>
      </c>
      <c r="P11" s="17">
        <v>0.22209947690637399</v>
      </c>
      <c r="Q11" s="17">
        <v>0.295860606886377</v>
      </c>
      <c r="R11" s="17">
        <v>0.13362437618947301</v>
      </c>
      <c r="S11" s="17">
        <v>0.25467260761104299</v>
      </c>
      <c r="T11" s="17">
        <v>0.41980867282639101</v>
      </c>
      <c r="U11" s="17">
        <v>0.25891326345723398</v>
      </c>
      <c r="V11" s="17">
        <v>0.232211298247778</v>
      </c>
      <c r="W11" s="17"/>
      <c r="X11" s="17">
        <v>0.23776437186598201</v>
      </c>
      <c r="Y11" s="17">
        <v>0.26853954320177698</v>
      </c>
    </row>
    <row r="12" spans="2:25" x14ac:dyDescent="0.35">
      <c r="B12" s="18" t="s">
        <v>415</v>
      </c>
      <c r="C12" s="17">
        <v>0.107526193664643</v>
      </c>
      <c r="D12" s="17">
        <v>0.12359022691379599</v>
      </c>
      <c r="E12" s="17">
        <v>9.2552585919157604E-2</v>
      </c>
      <c r="F12" s="17"/>
      <c r="G12" s="17">
        <v>8.3065309328282599E-2</v>
      </c>
      <c r="H12" s="17">
        <v>0.123025305881514</v>
      </c>
      <c r="I12" s="17">
        <v>0.101254452882972</v>
      </c>
      <c r="J12" s="17">
        <v>9.0160144715840301E-2</v>
      </c>
      <c r="K12" s="17">
        <v>0.11135228738282001</v>
      </c>
      <c r="L12" s="17">
        <v>0.120825677461364</v>
      </c>
      <c r="M12" s="17"/>
      <c r="N12" s="17">
        <v>0.11418937497597</v>
      </c>
      <c r="O12" s="17">
        <v>5.9963283067843501E-2</v>
      </c>
      <c r="P12" s="17">
        <v>5.9745520375743801E-2</v>
      </c>
      <c r="Q12" s="17">
        <v>0.268896300429253</v>
      </c>
      <c r="R12" s="17">
        <v>3.6888049696056802E-2</v>
      </c>
      <c r="S12" s="17">
        <v>7.6891847062840302E-2</v>
      </c>
      <c r="T12" s="17">
        <v>6.4349696404866999E-2</v>
      </c>
      <c r="U12" s="17">
        <v>0.15261619192092701</v>
      </c>
      <c r="V12" s="17">
        <v>9.3702849226628804E-2</v>
      </c>
      <c r="W12" s="17"/>
      <c r="X12" s="17">
        <v>0.12047155374594901</v>
      </c>
      <c r="Y12" s="17">
        <v>0.100362664729919</v>
      </c>
    </row>
    <row r="13" spans="2:25" x14ac:dyDescent="0.35">
      <c r="B13" s="18" t="s">
        <v>416</v>
      </c>
      <c r="C13" s="17">
        <v>3.9648852372153501E-2</v>
      </c>
      <c r="D13" s="17">
        <v>4.5416059287062299E-2</v>
      </c>
      <c r="E13" s="17">
        <v>3.3898112598643303E-2</v>
      </c>
      <c r="F13" s="17"/>
      <c r="G13" s="17">
        <v>2.40619823114838E-2</v>
      </c>
      <c r="H13" s="17">
        <v>4.3760682958397697E-2</v>
      </c>
      <c r="I13" s="17">
        <v>3.7360696612028003E-2</v>
      </c>
      <c r="J13" s="17">
        <v>4.4300656734165798E-2</v>
      </c>
      <c r="K13" s="17">
        <v>4.1052922935986197E-2</v>
      </c>
      <c r="L13" s="17">
        <v>4.03800645790987E-2</v>
      </c>
      <c r="M13" s="17"/>
      <c r="N13" s="17">
        <v>4.9459744886922799E-2</v>
      </c>
      <c r="O13" s="17">
        <v>2.70599454138572E-2</v>
      </c>
      <c r="P13" s="17">
        <v>1.8668704026556002E-2</v>
      </c>
      <c r="Q13" s="17">
        <v>0.10039011603188699</v>
      </c>
      <c r="R13" s="17">
        <v>1.15089574582894E-2</v>
      </c>
      <c r="S13" s="17">
        <v>2.5424417926514901E-2</v>
      </c>
      <c r="T13" s="17">
        <v>3.2046822535716203E-2</v>
      </c>
      <c r="U13" s="17">
        <v>5.9460086334320997E-2</v>
      </c>
      <c r="V13" s="17">
        <v>1.7470891119134999E-2</v>
      </c>
      <c r="W13" s="17"/>
      <c r="X13" s="17">
        <v>3.8653570117364498E-2</v>
      </c>
      <c r="Y13" s="17">
        <v>4.0199608255776599E-2</v>
      </c>
    </row>
    <row r="14" spans="2:25" x14ac:dyDescent="0.35">
      <c r="B14" s="18" t="s">
        <v>224</v>
      </c>
      <c r="C14" s="19">
        <v>4.8404920321866003E-2</v>
      </c>
      <c r="D14" s="19">
        <v>3.24667409956199E-2</v>
      </c>
      <c r="E14" s="19">
        <v>6.3602819782187403E-2</v>
      </c>
      <c r="F14" s="19"/>
      <c r="G14" s="19">
        <v>2.4420201884297599E-2</v>
      </c>
      <c r="H14" s="19">
        <v>2.3840905490154E-2</v>
      </c>
      <c r="I14" s="19">
        <v>3.8208891099515398E-2</v>
      </c>
      <c r="J14" s="19">
        <v>4.8419041664284401E-2</v>
      </c>
      <c r="K14" s="19">
        <v>5.7088388069102498E-2</v>
      </c>
      <c r="L14" s="19">
        <v>7.2687276910838705E-2</v>
      </c>
      <c r="M14" s="19"/>
      <c r="N14" s="19">
        <v>3.2527859773356399E-2</v>
      </c>
      <c r="O14" s="19">
        <v>9.7041292281725505E-2</v>
      </c>
      <c r="P14" s="19">
        <v>5.5855043617341997E-2</v>
      </c>
      <c r="Q14" s="19">
        <v>6.7228999717460297E-2</v>
      </c>
      <c r="R14" s="19">
        <v>1.80735696779179E-2</v>
      </c>
      <c r="S14" s="19">
        <v>6.3579428777098795E-2</v>
      </c>
      <c r="T14" s="19">
        <v>4.3714779107965403E-2</v>
      </c>
      <c r="U14" s="19">
        <v>4.2997891928769801E-2</v>
      </c>
      <c r="V14" s="19">
        <v>3.0223022687417899E-2</v>
      </c>
      <c r="W14" s="19"/>
      <c r="X14" s="19">
        <v>2.5465679851227298E-2</v>
      </c>
      <c r="Y14" s="19">
        <v>6.1098728127901999E-2</v>
      </c>
    </row>
    <row r="15" spans="2:25" x14ac:dyDescent="0.35">
      <c r="B15" s="16"/>
    </row>
    <row r="16" spans="2:25" x14ac:dyDescent="0.35">
      <c r="B16" t="s">
        <v>51</v>
      </c>
    </row>
    <row r="17" spans="2:2" x14ac:dyDescent="0.35">
      <c r="B17" t="s">
        <v>52</v>
      </c>
    </row>
    <row r="19" spans="2:2" x14ac:dyDescent="0.35">
      <c r="B19" s="8" t="str">
        <f>HYPERLINK("#'Contents'!A1", "Return to Contents")</f>
        <v>Return to Contents</v>
      </c>
    </row>
  </sheetData>
  <mergeCells count="5">
    <mergeCell ref="D5:E5"/>
    <mergeCell ref="G5:L5"/>
    <mergeCell ref="N5:V5"/>
    <mergeCell ref="X5:Y5"/>
    <mergeCell ref="D2:W2"/>
  </mergeCells>
  <pageMargins left="0.7" right="0.7" top="0.75" bottom="0.75" header="0.3" footer="0.3"/>
  <pageSetup paperSize="9" orientation="portrait" horizontalDpi="300" verticalDpi="300"/>
  <drawing r:id="rId1"/>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B00-000000000000}">
  <dimension ref="B2:P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6" width="20.7265625" customWidth="1"/>
  </cols>
  <sheetData>
    <row r="2" spans="2:16" ht="40" customHeight="1" x14ac:dyDescent="0.35">
      <c r="D2" s="30" t="s">
        <v>435</v>
      </c>
      <c r="E2" s="26"/>
      <c r="F2" s="26"/>
      <c r="G2" s="26"/>
      <c r="H2" s="26"/>
      <c r="I2" s="26"/>
      <c r="J2" s="26"/>
      <c r="K2" s="26"/>
      <c r="L2" s="26"/>
      <c r="M2" s="26"/>
      <c r="N2" s="26"/>
      <c r="O2" s="26"/>
      <c r="P2" s="26"/>
    </row>
    <row r="6" spans="2:16" ht="50" customHeight="1" x14ac:dyDescent="0.35">
      <c r="B6" s="20" t="s">
        <v>15</v>
      </c>
      <c r="C6" s="20" t="s">
        <v>418</v>
      </c>
      <c r="D6" s="20" t="s">
        <v>419</v>
      </c>
      <c r="E6" s="20" t="s">
        <v>420</v>
      </c>
      <c r="F6" s="20" t="s">
        <v>421</v>
      </c>
      <c r="G6" s="20" t="s">
        <v>422</v>
      </c>
      <c r="H6" s="20" t="s">
        <v>423</v>
      </c>
      <c r="I6" s="20" t="s">
        <v>424</v>
      </c>
      <c r="J6" s="20" t="s">
        <v>425</v>
      </c>
      <c r="K6" s="20" t="s">
        <v>426</v>
      </c>
      <c r="L6" s="20" t="s">
        <v>427</v>
      </c>
      <c r="M6" s="20" t="s">
        <v>428</v>
      </c>
      <c r="N6" s="20" t="s">
        <v>429</v>
      </c>
      <c r="O6" s="20" t="s">
        <v>430</v>
      </c>
    </row>
    <row r="7" spans="2:16" ht="29" x14ac:dyDescent="0.35">
      <c r="B7" s="18" t="s">
        <v>431</v>
      </c>
      <c r="C7" s="17">
        <v>0.19113721168786499</v>
      </c>
      <c r="D7" s="17">
        <v>5.1086449006857403E-2</v>
      </c>
      <c r="E7" s="17">
        <v>7.3278369933533705E-2</v>
      </c>
      <c r="F7" s="17">
        <v>4.7477994625868797E-2</v>
      </c>
      <c r="G7" s="17">
        <v>8.8335688248670399E-2</v>
      </c>
      <c r="H7" s="17">
        <v>0.118499812648616</v>
      </c>
      <c r="I7" s="17">
        <v>6.4976017167761399E-2</v>
      </c>
      <c r="J7" s="17">
        <v>7.7755466951947197E-2</v>
      </c>
      <c r="K7" s="17">
        <v>6.2803702084351098E-2</v>
      </c>
      <c r="L7" s="17">
        <v>5.2948811972871802E-2</v>
      </c>
      <c r="M7" s="17">
        <v>9.2850536437597497E-2</v>
      </c>
      <c r="N7" s="17">
        <v>7.8660120966140099E-2</v>
      </c>
      <c r="O7" s="17">
        <v>3.4271646354963402E-2</v>
      </c>
    </row>
    <row r="8" spans="2:16" ht="29" x14ac:dyDescent="0.35">
      <c r="B8" s="18" t="s">
        <v>432</v>
      </c>
      <c r="C8" s="17">
        <v>0.46839649103309</v>
      </c>
      <c r="D8" s="17">
        <v>0.21487933056276901</v>
      </c>
      <c r="E8" s="17">
        <v>0.29765036127843097</v>
      </c>
      <c r="F8" s="17">
        <v>0.16302884330558601</v>
      </c>
      <c r="G8" s="17">
        <v>0.26499693274444203</v>
      </c>
      <c r="H8" s="17">
        <v>0.37425467527598899</v>
      </c>
      <c r="I8" s="17">
        <v>0.29264720640063402</v>
      </c>
      <c r="J8" s="17">
        <v>0.25254514600153599</v>
      </c>
      <c r="K8" s="17">
        <v>0.22706005138319901</v>
      </c>
      <c r="L8" s="17">
        <v>0.21042283763852501</v>
      </c>
      <c r="M8" s="17">
        <v>0.25056685255898697</v>
      </c>
      <c r="N8" s="17">
        <v>0.21535221009182001</v>
      </c>
      <c r="O8" s="17">
        <v>0.120257261780325</v>
      </c>
    </row>
    <row r="9" spans="2:16" ht="29" x14ac:dyDescent="0.35">
      <c r="B9" s="18" t="s">
        <v>433</v>
      </c>
      <c r="C9" s="17">
        <v>0.31317577378713102</v>
      </c>
      <c r="D9" s="17">
        <v>0.57180794151671999</v>
      </c>
      <c r="E9" s="17">
        <v>0.51679353176237397</v>
      </c>
      <c r="F9" s="17">
        <v>0.40341179633073598</v>
      </c>
      <c r="G9" s="17">
        <v>0.491716985912384</v>
      </c>
      <c r="H9" s="17">
        <v>0.43664616757637198</v>
      </c>
      <c r="I9" s="17">
        <v>0.52585805078883496</v>
      </c>
      <c r="J9" s="17">
        <v>0.46172314741354797</v>
      </c>
      <c r="K9" s="17">
        <v>0.51699657565036705</v>
      </c>
      <c r="L9" s="17">
        <v>0.55981614727876206</v>
      </c>
      <c r="M9" s="17">
        <v>0.45023263271023301</v>
      </c>
      <c r="N9" s="17">
        <v>0.47851270824248299</v>
      </c>
      <c r="O9" s="17">
        <v>0.51806074731621199</v>
      </c>
    </row>
    <row r="10" spans="2:16" x14ac:dyDescent="0.35">
      <c r="B10" s="18" t="s">
        <v>434</v>
      </c>
      <c r="C10" s="17">
        <v>2.7290523491913701E-2</v>
      </c>
      <c r="D10" s="17">
        <v>0.16222627891365299</v>
      </c>
      <c r="E10" s="17">
        <v>0.112277737025662</v>
      </c>
      <c r="F10" s="17">
        <v>0.38608136573780999</v>
      </c>
      <c r="G10" s="17">
        <v>0.15495039309450401</v>
      </c>
      <c r="H10" s="17">
        <v>7.0599344499022706E-2</v>
      </c>
      <c r="I10" s="17">
        <v>0.11651872564276999</v>
      </c>
      <c r="J10" s="17">
        <v>0.20797623963296899</v>
      </c>
      <c r="K10" s="17">
        <v>0.193139670882083</v>
      </c>
      <c r="L10" s="17">
        <v>0.176812203109841</v>
      </c>
      <c r="M10" s="17">
        <v>0.206349978293183</v>
      </c>
      <c r="N10" s="17">
        <v>0.227474960699557</v>
      </c>
      <c r="O10" s="17">
        <v>0.32741034454849899</v>
      </c>
    </row>
    <row r="11" spans="2:16" x14ac:dyDescent="0.35">
      <c r="B11" s="16"/>
      <c r="C11" s="16"/>
      <c r="D11" s="16"/>
      <c r="E11" s="16"/>
      <c r="F11" s="16"/>
      <c r="G11" s="16"/>
      <c r="H11" s="16"/>
      <c r="I11" s="16"/>
      <c r="J11" s="16"/>
      <c r="K11" s="16"/>
      <c r="L11" s="16"/>
      <c r="M11" s="16"/>
      <c r="N11" s="16"/>
      <c r="O11" s="16"/>
    </row>
    <row r="12" spans="2:16" x14ac:dyDescent="0.35">
      <c r="B12" t="s">
        <v>51</v>
      </c>
    </row>
    <row r="13" spans="2:16" x14ac:dyDescent="0.35">
      <c r="B13" t="s">
        <v>52</v>
      </c>
    </row>
    <row r="17" spans="2:2" x14ac:dyDescent="0.35">
      <c r="B17" s="8" t="str">
        <f>HYPERLINK("#'Contents'!A1", "Return to Contents")</f>
        <v>Return to Contents</v>
      </c>
    </row>
  </sheetData>
  <mergeCells count="1">
    <mergeCell ref="D2:P2"/>
  </mergeCells>
  <pageMargins left="0.7" right="0.7" top="0.75" bottom="0.75" header="0.3" footer="0.3"/>
  <pageSetup paperSize="9" orientation="portrait" horizontalDpi="300" verticalDpi="300"/>
  <drawing r:id="rId1"/>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C00-000000000000}">
  <dimension ref="B2:Y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s>
  <sheetData>
    <row r="2" spans="2:25" ht="40" customHeight="1" x14ac:dyDescent="0.35">
      <c r="D2" s="30" t="s">
        <v>436</v>
      </c>
      <c r="E2" s="26"/>
      <c r="F2" s="26"/>
      <c r="G2" s="26"/>
      <c r="H2" s="26"/>
      <c r="I2" s="26"/>
      <c r="J2" s="26"/>
      <c r="K2" s="26"/>
      <c r="L2" s="26"/>
      <c r="M2" s="26"/>
      <c r="N2" s="26"/>
      <c r="O2" s="26"/>
      <c r="P2" s="26"/>
      <c r="Q2" s="26"/>
      <c r="R2" s="26"/>
      <c r="S2" s="26"/>
      <c r="T2" s="26"/>
      <c r="U2" s="26"/>
      <c r="V2" s="26"/>
      <c r="W2" s="26"/>
    </row>
    <row r="5" spans="2:25" ht="30" customHeight="1" x14ac:dyDescent="0.35">
      <c r="B5" s="15"/>
      <c r="C5" s="15"/>
      <c r="D5" s="29" t="s">
        <v>38</v>
      </c>
      <c r="E5" s="29"/>
      <c r="F5" s="15"/>
      <c r="G5" s="29" t="s">
        <v>39</v>
      </c>
      <c r="H5" s="29"/>
      <c r="I5" s="29"/>
      <c r="J5" s="29"/>
      <c r="K5" s="29"/>
      <c r="L5" s="29"/>
      <c r="M5" s="15"/>
      <c r="N5" s="29" t="s">
        <v>40</v>
      </c>
      <c r="O5" s="29"/>
      <c r="P5" s="29"/>
      <c r="Q5" s="29"/>
      <c r="R5" s="29"/>
      <c r="S5" s="29"/>
      <c r="T5" s="29"/>
      <c r="U5" s="29"/>
      <c r="V5" s="29"/>
      <c r="W5" s="15"/>
      <c r="X5" s="29" t="s">
        <v>41</v>
      </c>
      <c r="Y5" s="29"/>
    </row>
    <row r="6" spans="2:25" ht="29"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row>
    <row r="7" spans="2:25" ht="30" customHeight="1" x14ac:dyDescent="0.35">
      <c r="B7" s="10" t="s">
        <v>19</v>
      </c>
      <c r="C7" s="10">
        <v>6838</v>
      </c>
      <c r="D7" s="10">
        <v>3283</v>
      </c>
      <c r="E7" s="10">
        <v>3541</v>
      </c>
      <c r="F7" s="10"/>
      <c r="G7" s="10">
        <v>635</v>
      </c>
      <c r="H7" s="10">
        <v>1075</v>
      </c>
      <c r="I7" s="10">
        <v>1093</v>
      </c>
      <c r="J7" s="10">
        <v>1228</v>
      </c>
      <c r="K7" s="10">
        <v>1156</v>
      </c>
      <c r="L7" s="10">
        <v>1651</v>
      </c>
      <c r="M7" s="10"/>
      <c r="N7" s="10">
        <v>208</v>
      </c>
      <c r="O7" s="10">
        <v>200</v>
      </c>
      <c r="P7" s="10">
        <v>1002</v>
      </c>
      <c r="Q7" s="10">
        <v>1000</v>
      </c>
      <c r="R7" s="10">
        <v>1004</v>
      </c>
      <c r="S7" s="10">
        <v>1006</v>
      </c>
      <c r="T7" s="10">
        <v>1006</v>
      </c>
      <c r="U7" s="10">
        <v>1007</v>
      </c>
      <c r="V7" s="10">
        <v>405</v>
      </c>
      <c r="W7" s="10"/>
      <c r="X7" s="10">
        <v>2650</v>
      </c>
      <c r="Y7" s="10">
        <v>4188</v>
      </c>
    </row>
    <row r="8" spans="2:25" ht="30" customHeight="1" x14ac:dyDescent="0.35">
      <c r="B8" s="11" t="s">
        <v>20</v>
      </c>
      <c r="C8" s="11">
        <v>6838</v>
      </c>
      <c r="D8" s="11">
        <v>3309</v>
      </c>
      <c r="E8" s="11">
        <v>3515</v>
      </c>
      <c r="F8" s="11"/>
      <c r="G8" s="11">
        <v>645</v>
      </c>
      <c r="H8" s="11">
        <v>1026</v>
      </c>
      <c r="I8" s="11">
        <v>1111</v>
      </c>
      <c r="J8" s="11">
        <v>1184</v>
      </c>
      <c r="K8" s="11">
        <v>1140</v>
      </c>
      <c r="L8" s="11">
        <v>1732</v>
      </c>
      <c r="M8" s="11"/>
      <c r="N8" s="11">
        <v>208</v>
      </c>
      <c r="O8" s="11">
        <v>200</v>
      </c>
      <c r="P8" s="11">
        <v>1002</v>
      </c>
      <c r="Q8" s="11">
        <v>1000</v>
      </c>
      <c r="R8" s="11">
        <v>1004</v>
      </c>
      <c r="S8" s="11">
        <v>1006</v>
      </c>
      <c r="T8" s="11">
        <v>1006</v>
      </c>
      <c r="U8" s="11">
        <v>1007</v>
      </c>
      <c r="V8" s="11">
        <v>405</v>
      </c>
      <c r="W8" s="11"/>
      <c r="X8" s="11">
        <v>2436</v>
      </c>
      <c r="Y8" s="11">
        <v>4402</v>
      </c>
    </row>
    <row r="9" spans="2:25" ht="29" x14ac:dyDescent="0.35">
      <c r="B9" s="18" t="s">
        <v>431</v>
      </c>
      <c r="C9" s="17">
        <v>0.19113721168786499</v>
      </c>
      <c r="D9" s="17">
        <v>0.24123464767096101</v>
      </c>
      <c r="E9" s="17">
        <v>0.14389244581802901</v>
      </c>
      <c r="F9" s="17"/>
      <c r="G9" s="17">
        <v>0.35832818650244702</v>
      </c>
      <c r="H9" s="17">
        <v>0.30446290914850499</v>
      </c>
      <c r="I9" s="17">
        <v>0.219043198035348</v>
      </c>
      <c r="J9" s="17">
        <v>0.17102277591923001</v>
      </c>
      <c r="K9" s="17">
        <v>0.123878470784726</v>
      </c>
      <c r="L9" s="17">
        <v>0.101946341109764</v>
      </c>
      <c r="M9" s="17"/>
      <c r="N9" s="17">
        <v>0.23842646451346999</v>
      </c>
      <c r="O9" s="17">
        <v>0.170157359218087</v>
      </c>
      <c r="P9" s="17">
        <v>0.238061457704733</v>
      </c>
      <c r="Q9" s="17">
        <v>0.16351649494322201</v>
      </c>
      <c r="R9" s="17">
        <v>0.11515944341090099</v>
      </c>
      <c r="S9" s="17">
        <v>0.20395576107056401</v>
      </c>
      <c r="T9" s="17">
        <v>0.21448514785161199</v>
      </c>
      <c r="U9" s="17">
        <v>0.19125113242707201</v>
      </c>
      <c r="V9" s="17">
        <v>0.22754685328771601</v>
      </c>
      <c r="W9" s="17"/>
      <c r="X9" s="17">
        <v>0.25978901379890601</v>
      </c>
      <c r="Y9" s="17">
        <v>0.15314760245686301</v>
      </c>
    </row>
    <row r="10" spans="2:25" ht="29" x14ac:dyDescent="0.35">
      <c r="B10" s="18" t="s">
        <v>432</v>
      </c>
      <c r="C10" s="17">
        <v>0.46839649103309</v>
      </c>
      <c r="D10" s="17">
        <v>0.503913911452602</v>
      </c>
      <c r="E10" s="17">
        <v>0.43479213545789702</v>
      </c>
      <c r="F10" s="17"/>
      <c r="G10" s="17">
        <v>0.482066641835595</v>
      </c>
      <c r="H10" s="17">
        <v>0.47468352244635298</v>
      </c>
      <c r="I10" s="17">
        <v>0.50646708637212401</v>
      </c>
      <c r="J10" s="17">
        <v>0.47644492866571803</v>
      </c>
      <c r="K10" s="17">
        <v>0.45793367557636599</v>
      </c>
      <c r="L10" s="17">
        <v>0.43655381135001697</v>
      </c>
      <c r="M10" s="17"/>
      <c r="N10" s="17">
        <v>0.46304565445350399</v>
      </c>
      <c r="O10" s="17">
        <v>0.45286236881686898</v>
      </c>
      <c r="P10" s="17">
        <v>0.49629654633075398</v>
      </c>
      <c r="Q10" s="17">
        <v>0.452023003815619</v>
      </c>
      <c r="R10" s="17">
        <v>0.392380437318404</v>
      </c>
      <c r="S10" s="17">
        <v>0.49542492326940701</v>
      </c>
      <c r="T10" s="17">
        <v>0.50993082468603801</v>
      </c>
      <c r="U10" s="17">
        <v>0.45756194526524502</v>
      </c>
      <c r="V10" s="17">
        <v>0.49529474608042701</v>
      </c>
      <c r="W10" s="17"/>
      <c r="X10" s="17">
        <v>0.514066668208915</v>
      </c>
      <c r="Y10" s="17">
        <v>0.44312414375203801</v>
      </c>
    </row>
    <row r="11" spans="2:25" ht="29" x14ac:dyDescent="0.35">
      <c r="B11" s="18" t="s">
        <v>433</v>
      </c>
      <c r="C11" s="17">
        <v>0.31317577378713102</v>
      </c>
      <c r="D11" s="17">
        <v>0.240848180098688</v>
      </c>
      <c r="E11" s="17">
        <v>0.38140705762108501</v>
      </c>
      <c r="F11" s="17"/>
      <c r="G11" s="17">
        <v>0.141212831053529</v>
      </c>
      <c r="H11" s="17">
        <v>0.202076067334061</v>
      </c>
      <c r="I11" s="17">
        <v>0.25150175159356603</v>
      </c>
      <c r="J11" s="17">
        <v>0.32657134803707399</v>
      </c>
      <c r="K11" s="17">
        <v>0.39449398908835598</v>
      </c>
      <c r="L11" s="17">
        <v>0.41982246913382198</v>
      </c>
      <c r="M11" s="17"/>
      <c r="N11" s="17">
        <v>0.277645118314642</v>
      </c>
      <c r="O11" s="17">
        <v>0.35378292610977502</v>
      </c>
      <c r="P11" s="17">
        <v>0.23931927176395101</v>
      </c>
      <c r="Q11" s="17">
        <v>0.35918824803994798</v>
      </c>
      <c r="R11" s="17">
        <v>0.47997013312787201</v>
      </c>
      <c r="S11" s="17">
        <v>0.280349990364757</v>
      </c>
      <c r="T11" s="17">
        <v>0.242677206858182</v>
      </c>
      <c r="U11" s="17">
        <v>0.29652904524748602</v>
      </c>
      <c r="V11" s="17">
        <v>0.265044173695548</v>
      </c>
      <c r="W11" s="17"/>
      <c r="X11" s="17">
        <v>0.20967602025939</v>
      </c>
      <c r="Y11" s="17">
        <v>0.37044907282834699</v>
      </c>
    </row>
    <row r="12" spans="2:25" x14ac:dyDescent="0.35">
      <c r="B12" s="18" t="s">
        <v>434</v>
      </c>
      <c r="C12" s="19">
        <v>2.7290523491913701E-2</v>
      </c>
      <c r="D12" s="19">
        <v>1.4003260777748799E-2</v>
      </c>
      <c r="E12" s="19">
        <v>3.99083611029886E-2</v>
      </c>
      <c r="F12" s="19"/>
      <c r="G12" s="19">
        <v>1.8392340608429099E-2</v>
      </c>
      <c r="H12" s="19">
        <v>1.8777501071080099E-2</v>
      </c>
      <c r="I12" s="19">
        <v>2.29879639989625E-2</v>
      </c>
      <c r="J12" s="19">
        <v>2.5960947377977699E-2</v>
      </c>
      <c r="K12" s="19">
        <v>2.3693864550551801E-2</v>
      </c>
      <c r="L12" s="19">
        <v>4.1677378406396098E-2</v>
      </c>
      <c r="M12" s="19"/>
      <c r="N12" s="19">
        <v>2.0882762718383598E-2</v>
      </c>
      <c r="O12" s="19">
        <v>2.3197345855269402E-2</v>
      </c>
      <c r="P12" s="19">
        <v>2.63227242005621E-2</v>
      </c>
      <c r="Q12" s="19">
        <v>2.5272253201211101E-2</v>
      </c>
      <c r="R12" s="19">
        <v>1.2489986142822899E-2</v>
      </c>
      <c r="S12" s="19">
        <v>2.0269325295271898E-2</v>
      </c>
      <c r="T12" s="19">
        <v>3.2906820604167601E-2</v>
      </c>
      <c r="U12" s="19">
        <v>5.4657877060197098E-2</v>
      </c>
      <c r="V12" s="19">
        <v>1.21142269363088E-2</v>
      </c>
      <c r="W12" s="19"/>
      <c r="X12" s="19">
        <v>1.6468297732789499E-2</v>
      </c>
      <c r="Y12" s="19">
        <v>3.32791809627523E-2</v>
      </c>
    </row>
    <row r="13" spans="2:25" x14ac:dyDescent="0.35">
      <c r="B13" s="16"/>
    </row>
    <row r="14" spans="2:25" x14ac:dyDescent="0.35">
      <c r="B14" t="s">
        <v>51</v>
      </c>
    </row>
    <row r="15" spans="2:25" x14ac:dyDescent="0.35">
      <c r="B15" t="s">
        <v>52</v>
      </c>
    </row>
    <row r="17" spans="2:2" x14ac:dyDescent="0.35">
      <c r="B17" s="8" t="str">
        <f>HYPERLINK("#'Contents'!A1", "Return to Contents")</f>
        <v>Return to Contents</v>
      </c>
    </row>
  </sheetData>
  <mergeCells count="5">
    <mergeCell ref="D5:E5"/>
    <mergeCell ref="G5:L5"/>
    <mergeCell ref="N5:V5"/>
    <mergeCell ref="X5:Y5"/>
    <mergeCell ref="D2:W2"/>
  </mergeCells>
  <pageMargins left="0.7" right="0.7" top="0.75" bottom="0.75" header="0.3" footer="0.3"/>
  <pageSetup paperSize="9" orientation="portrait" horizontalDpi="300" verticalDpi="300"/>
  <drawing r:id="rId1"/>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D00-000000000000}">
  <dimension ref="B2:Y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s>
  <sheetData>
    <row r="2" spans="2:25" ht="40" customHeight="1" x14ac:dyDescent="0.35">
      <c r="D2" s="30" t="s">
        <v>437</v>
      </c>
      <c r="E2" s="26"/>
      <c r="F2" s="26"/>
      <c r="G2" s="26"/>
      <c r="H2" s="26"/>
      <c r="I2" s="26"/>
      <c r="J2" s="26"/>
      <c r="K2" s="26"/>
      <c r="L2" s="26"/>
      <c r="M2" s="26"/>
      <c r="N2" s="26"/>
      <c r="O2" s="26"/>
      <c r="P2" s="26"/>
      <c r="Q2" s="26"/>
      <c r="R2" s="26"/>
      <c r="S2" s="26"/>
      <c r="T2" s="26"/>
      <c r="U2" s="26"/>
      <c r="V2" s="26"/>
      <c r="W2" s="26"/>
    </row>
    <row r="5" spans="2:25" ht="30" customHeight="1" x14ac:dyDescent="0.35">
      <c r="B5" s="15"/>
      <c r="C5" s="15"/>
      <c r="D5" s="29" t="s">
        <v>38</v>
      </c>
      <c r="E5" s="29"/>
      <c r="F5" s="15"/>
      <c r="G5" s="29" t="s">
        <v>39</v>
      </c>
      <c r="H5" s="29"/>
      <c r="I5" s="29"/>
      <c r="J5" s="29"/>
      <c r="K5" s="29"/>
      <c r="L5" s="29"/>
      <c r="M5" s="15"/>
      <c r="N5" s="29" t="s">
        <v>40</v>
      </c>
      <c r="O5" s="29"/>
      <c r="P5" s="29"/>
      <c r="Q5" s="29"/>
      <c r="R5" s="29"/>
      <c r="S5" s="29"/>
      <c r="T5" s="29"/>
      <c r="U5" s="29"/>
      <c r="V5" s="29"/>
      <c r="W5" s="15"/>
      <c r="X5" s="29" t="s">
        <v>41</v>
      </c>
      <c r="Y5" s="29"/>
    </row>
    <row r="6" spans="2:25" ht="29"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row>
    <row r="7" spans="2:25" ht="30" customHeight="1" x14ac:dyDescent="0.35">
      <c r="B7" s="10" t="s">
        <v>19</v>
      </c>
      <c r="C7" s="10">
        <v>6838</v>
      </c>
      <c r="D7" s="10">
        <v>3283</v>
      </c>
      <c r="E7" s="10">
        <v>3541</v>
      </c>
      <c r="F7" s="10"/>
      <c r="G7" s="10">
        <v>635</v>
      </c>
      <c r="H7" s="10">
        <v>1075</v>
      </c>
      <c r="I7" s="10">
        <v>1093</v>
      </c>
      <c r="J7" s="10">
        <v>1228</v>
      </c>
      <c r="K7" s="10">
        <v>1156</v>
      </c>
      <c r="L7" s="10">
        <v>1651</v>
      </c>
      <c r="M7" s="10"/>
      <c r="N7" s="10">
        <v>208</v>
      </c>
      <c r="O7" s="10">
        <v>200</v>
      </c>
      <c r="P7" s="10">
        <v>1002</v>
      </c>
      <c r="Q7" s="10">
        <v>1000</v>
      </c>
      <c r="R7" s="10">
        <v>1004</v>
      </c>
      <c r="S7" s="10">
        <v>1006</v>
      </c>
      <c r="T7" s="10">
        <v>1006</v>
      </c>
      <c r="U7" s="10">
        <v>1007</v>
      </c>
      <c r="V7" s="10">
        <v>405</v>
      </c>
      <c r="W7" s="10"/>
      <c r="X7" s="10">
        <v>2650</v>
      </c>
      <c r="Y7" s="10">
        <v>4188</v>
      </c>
    </row>
    <row r="8" spans="2:25" ht="30" customHeight="1" x14ac:dyDescent="0.35">
      <c r="B8" s="11" t="s">
        <v>20</v>
      </c>
      <c r="C8" s="11">
        <v>6838</v>
      </c>
      <c r="D8" s="11">
        <v>3309</v>
      </c>
      <c r="E8" s="11">
        <v>3515</v>
      </c>
      <c r="F8" s="11"/>
      <c r="G8" s="11">
        <v>645</v>
      </c>
      <c r="H8" s="11">
        <v>1026</v>
      </c>
      <c r="I8" s="11">
        <v>1111</v>
      </c>
      <c r="J8" s="11">
        <v>1184</v>
      </c>
      <c r="K8" s="11">
        <v>1140</v>
      </c>
      <c r="L8" s="11">
        <v>1732</v>
      </c>
      <c r="M8" s="11"/>
      <c r="N8" s="11">
        <v>208</v>
      </c>
      <c r="O8" s="11">
        <v>200</v>
      </c>
      <c r="P8" s="11">
        <v>1002</v>
      </c>
      <c r="Q8" s="11">
        <v>1000</v>
      </c>
      <c r="R8" s="11">
        <v>1004</v>
      </c>
      <c r="S8" s="11">
        <v>1006</v>
      </c>
      <c r="T8" s="11">
        <v>1006</v>
      </c>
      <c r="U8" s="11">
        <v>1007</v>
      </c>
      <c r="V8" s="11">
        <v>405</v>
      </c>
      <c r="W8" s="11"/>
      <c r="X8" s="11">
        <v>2436</v>
      </c>
      <c r="Y8" s="11">
        <v>4402</v>
      </c>
    </row>
    <row r="9" spans="2:25" ht="29" x14ac:dyDescent="0.35">
      <c r="B9" s="18" t="s">
        <v>431</v>
      </c>
      <c r="C9" s="17">
        <v>5.1086449006857403E-2</v>
      </c>
      <c r="D9" s="17">
        <v>7.2025805807542198E-2</v>
      </c>
      <c r="E9" s="17">
        <v>3.1331175377537102E-2</v>
      </c>
      <c r="F9" s="17"/>
      <c r="G9" s="17">
        <v>0.11124374508606601</v>
      </c>
      <c r="H9" s="17">
        <v>9.8970412377272096E-2</v>
      </c>
      <c r="I9" s="17">
        <v>6.4796516621453998E-2</v>
      </c>
      <c r="J9" s="17">
        <v>4.01560121858206E-2</v>
      </c>
      <c r="K9" s="17">
        <v>1.8229120893747199E-2</v>
      </c>
      <c r="L9" s="17">
        <v>2.0654793805676201E-2</v>
      </c>
      <c r="M9" s="17"/>
      <c r="N9" s="17">
        <v>3.9115832792018801E-2</v>
      </c>
      <c r="O9" s="17">
        <v>1.9438909904567099E-2</v>
      </c>
      <c r="P9" s="17">
        <v>7.0955456789679794E-2</v>
      </c>
      <c r="Q9" s="17">
        <v>4.6259844436325297E-2</v>
      </c>
      <c r="R9" s="17">
        <v>3.4842691047802701E-2</v>
      </c>
      <c r="S9" s="17">
        <v>4.7440636723653097E-2</v>
      </c>
      <c r="T9" s="17">
        <v>4.6767414475704303E-2</v>
      </c>
      <c r="U9" s="17">
        <v>6.2838223119284303E-2</v>
      </c>
      <c r="V9" s="17">
        <v>6.6455799920953407E-2</v>
      </c>
      <c r="W9" s="17"/>
      <c r="X9" s="17">
        <v>8.0993739677132207E-2</v>
      </c>
      <c r="Y9" s="17">
        <v>3.4536755469547702E-2</v>
      </c>
    </row>
    <row r="10" spans="2:25" ht="29" x14ac:dyDescent="0.35">
      <c r="B10" s="18" t="s">
        <v>432</v>
      </c>
      <c r="C10" s="17">
        <v>0.21487933056276901</v>
      </c>
      <c r="D10" s="17">
        <v>0.27306681854992598</v>
      </c>
      <c r="E10" s="17">
        <v>0.15918011246920399</v>
      </c>
      <c r="F10" s="17"/>
      <c r="G10" s="17">
        <v>0.31398816943580499</v>
      </c>
      <c r="H10" s="17">
        <v>0.29162732754549903</v>
      </c>
      <c r="I10" s="17">
        <v>0.25483195514198997</v>
      </c>
      <c r="J10" s="17">
        <v>0.18603792344141501</v>
      </c>
      <c r="K10" s="17">
        <v>0.189087320439219</v>
      </c>
      <c r="L10" s="17">
        <v>0.14362046557410901</v>
      </c>
      <c r="M10" s="17"/>
      <c r="N10" s="17">
        <v>0.20353618602395701</v>
      </c>
      <c r="O10" s="17">
        <v>0.12867241424334</v>
      </c>
      <c r="P10" s="17">
        <v>0.25765035311696599</v>
      </c>
      <c r="Q10" s="17">
        <v>0.235525340019589</v>
      </c>
      <c r="R10" s="17">
        <v>0.13800703080597901</v>
      </c>
      <c r="S10" s="17">
        <v>0.27247786425702802</v>
      </c>
      <c r="T10" s="17">
        <v>0.197327347027314</v>
      </c>
      <c r="U10" s="17">
        <v>0.204712299782072</v>
      </c>
      <c r="V10" s="17">
        <v>0.22285301639994101</v>
      </c>
      <c r="W10" s="17"/>
      <c r="X10" s="17">
        <v>0.27146404676798502</v>
      </c>
      <c r="Y10" s="17">
        <v>0.183567242737217</v>
      </c>
    </row>
    <row r="11" spans="2:25" ht="29" x14ac:dyDescent="0.35">
      <c r="B11" s="18" t="s">
        <v>433</v>
      </c>
      <c r="C11" s="17">
        <v>0.57180794151671999</v>
      </c>
      <c r="D11" s="17">
        <v>0.53834409708588005</v>
      </c>
      <c r="E11" s="17">
        <v>0.60426025677029604</v>
      </c>
      <c r="F11" s="17"/>
      <c r="G11" s="17">
        <v>0.47579249108896199</v>
      </c>
      <c r="H11" s="17">
        <v>0.49063762706880598</v>
      </c>
      <c r="I11" s="17">
        <v>0.54751825807024701</v>
      </c>
      <c r="J11" s="17">
        <v>0.59764336885289904</v>
      </c>
      <c r="K11" s="17">
        <v>0.61119298745644601</v>
      </c>
      <c r="L11" s="17">
        <v>0.62759345494116203</v>
      </c>
      <c r="M11" s="17"/>
      <c r="N11" s="17">
        <v>0.56691284611788495</v>
      </c>
      <c r="O11" s="17">
        <v>0.67224948652045402</v>
      </c>
      <c r="P11" s="17">
        <v>0.49434639813793002</v>
      </c>
      <c r="Q11" s="17">
        <v>0.65873402066133901</v>
      </c>
      <c r="R11" s="17">
        <v>0.69552071005557703</v>
      </c>
      <c r="S11" s="17">
        <v>0.58742477185578601</v>
      </c>
      <c r="T11" s="17">
        <v>0.49709072968135498</v>
      </c>
      <c r="U11" s="17">
        <v>0.46592813167302899</v>
      </c>
      <c r="V11" s="17">
        <v>0.60511310410438401</v>
      </c>
      <c r="W11" s="17"/>
      <c r="X11" s="17">
        <v>0.52802279341670399</v>
      </c>
      <c r="Y11" s="17">
        <v>0.59603717680686996</v>
      </c>
    </row>
    <row r="12" spans="2:25" x14ac:dyDescent="0.35">
      <c r="B12" s="18" t="s">
        <v>434</v>
      </c>
      <c r="C12" s="19">
        <v>0.16222627891365299</v>
      </c>
      <c r="D12" s="19">
        <v>0.11656327855665199</v>
      </c>
      <c r="E12" s="19">
        <v>0.205228455382964</v>
      </c>
      <c r="F12" s="19"/>
      <c r="G12" s="19">
        <v>9.8975594389165797E-2</v>
      </c>
      <c r="H12" s="19">
        <v>0.11876463300842301</v>
      </c>
      <c r="I12" s="19">
        <v>0.13285327016630899</v>
      </c>
      <c r="J12" s="19">
        <v>0.17616269551986599</v>
      </c>
      <c r="K12" s="19">
        <v>0.18149057121058801</v>
      </c>
      <c r="L12" s="19">
        <v>0.20813128567905301</v>
      </c>
      <c r="M12" s="19"/>
      <c r="N12" s="19">
        <v>0.19043513506613999</v>
      </c>
      <c r="O12" s="19">
        <v>0.179639189331639</v>
      </c>
      <c r="P12" s="19">
        <v>0.177047791955424</v>
      </c>
      <c r="Q12" s="19">
        <v>5.9480794882747302E-2</v>
      </c>
      <c r="R12" s="19">
        <v>0.131629568090641</v>
      </c>
      <c r="S12" s="19">
        <v>9.26567271635335E-2</v>
      </c>
      <c r="T12" s="19">
        <v>0.25881450881562601</v>
      </c>
      <c r="U12" s="19">
        <v>0.26652134542561401</v>
      </c>
      <c r="V12" s="19">
        <v>0.105578079574722</v>
      </c>
      <c r="W12" s="19"/>
      <c r="X12" s="19">
        <v>0.119519420138179</v>
      </c>
      <c r="Y12" s="19">
        <v>0.18585882498636599</v>
      </c>
    </row>
    <row r="13" spans="2:25" x14ac:dyDescent="0.35">
      <c r="B13" s="16"/>
    </row>
    <row r="14" spans="2:25" x14ac:dyDescent="0.35">
      <c r="B14" t="s">
        <v>51</v>
      </c>
    </row>
    <row r="15" spans="2:25" x14ac:dyDescent="0.35">
      <c r="B15" t="s">
        <v>52</v>
      </c>
    </row>
    <row r="17" spans="2:2" x14ac:dyDescent="0.35">
      <c r="B17" s="8" t="str">
        <f>HYPERLINK("#'Contents'!A1", "Return to Contents")</f>
        <v>Return to Contents</v>
      </c>
    </row>
  </sheetData>
  <mergeCells count="5">
    <mergeCell ref="D5:E5"/>
    <mergeCell ref="G5:L5"/>
    <mergeCell ref="N5:V5"/>
    <mergeCell ref="X5:Y5"/>
    <mergeCell ref="D2:W2"/>
  </mergeCells>
  <pageMargins left="0.7" right="0.7" top="0.75" bottom="0.75" header="0.3" footer="0.3"/>
  <pageSetup paperSize="9" orientation="portrait" horizontalDpi="300" verticalDpi="300"/>
  <drawing r:id="rId1"/>
</worksheet>
</file>

<file path=xl/worksheets/sheet1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E00-000000000000}">
  <dimension ref="B2:Y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s>
  <sheetData>
    <row r="2" spans="2:25" ht="40" customHeight="1" x14ac:dyDescent="0.35">
      <c r="D2" s="30" t="s">
        <v>438</v>
      </c>
      <c r="E2" s="26"/>
      <c r="F2" s="26"/>
      <c r="G2" s="26"/>
      <c r="H2" s="26"/>
      <c r="I2" s="26"/>
      <c r="J2" s="26"/>
      <c r="K2" s="26"/>
      <c r="L2" s="26"/>
      <c r="M2" s="26"/>
      <c r="N2" s="26"/>
      <c r="O2" s="26"/>
      <c r="P2" s="26"/>
      <c r="Q2" s="26"/>
      <c r="R2" s="26"/>
      <c r="S2" s="26"/>
      <c r="T2" s="26"/>
      <c r="U2" s="26"/>
      <c r="V2" s="26"/>
      <c r="W2" s="26"/>
    </row>
    <row r="5" spans="2:25" ht="30" customHeight="1" x14ac:dyDescent="0.35">
      <c r="B5" s="15"/>
      <c r="C5" s="15"/>
      <c r="D5" s="29" t="s">
        <v>38</v>
      </c>
      <c r="E5" s="29"/>
      <c r="F5" s="15"/>
      <c r="G5" s="29" t="s">
        <v>39</v>
      </c>
      <c r="H5" s="29"/>
      <c r="I5" s="29"/>
      <c r="J5" s="29"/>
      <c r="K5" s="29"/>
      <c r="L5" s="29"/>
      <c r="M5" s="15"/>
      <c r="N5" s="29" t="s">
        <v>40</v>
      </c>
      <c r="O5" s="29"/>
      <c r="P5" s="29"/>
      <c r="Q5" s="29"/>
      <c r="R5" s="29"/>
      <c r="S5" s="29"/>
      <c r="T5" s="29"/>
      <c r="U5" s="29"/>
      <c r="V5" s="29"/>
      <c r="W5" s="15"/>
      <c r="X5" s="29" t="s">
        <v>41</v>
      </c>
      <c r="Y5" s="29"/>
    </row>
    <row r="6" spans="2:25" ht="29"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row>
    <row r="7" spans="2:25" ht="30" customHeight="1" x14ac:dyDescent="0.35">
      <c r="B7" s="10" t="s">
        <v>19</v>
      </c>
      <c r="C7" s="10">
        <v>6838</v>
      </c>
      <c r="D7" s="10">
        <v>3283</v>
      </c>
      <c r="E7" s="10">
        <v>3541</v>
      </c>
      <c r="F7" s="10"/>
      <c r="G7" s="10">
        <v>635</v>
      </c>
      <c r="H7" s="10">
        <v>1075</v>
      </c>
      <c r="I7" s="10">
        <v>1093</v>
      </c>
      <c r="J7" s="10">
        <v>1228</v>
      </c>
      <c r="K7" s="10">
        <v>1156</v>
      </c>
      <c r="L7" s="10">
        <v>1651</v>
      </c>
      <c r="M7" s="10"/>
      <c r="N7" s="10">
        <v>208</v>
      </c>
      <c r="O7" s="10">
        <v>200</v>
      </c>
      <c r="P7" s="10">
        <v>1002</v>
      </c>
      <c r="Q7" s="10">
        <v>1000</v>
      </c>
      <c r="R7" s="10">
        <v>1004</v>
      </c>
      <c r="S7" s="10">
        <v>1006</v>
      </c>
      <c r="T7" s="10">
        <v>1006</v>
      </c>
      <c r="U7" s="10">
        <v>1007</v>
      </c>
      <c r="V7" s="10">
        <v>405</v>
      </c>
      <c r="W7" s="10"/>
      <c r="X7" s="10">
        <v>2650</v>
      </c>
      <c r="Y7" s="10">
        <v>4188</v>
      </c>
    </row>
    <row r="8" spans="2:25" ht="30" customHeight="1" x14ac:dyDescent="0.35">
      <c r="B8" s="11" t="s">
        <v>20</v>
      </c>
      <c r="C8" s="11">
        <v>6838</v>
      </c>
      <c r="D8" s="11">
        <v>3309</v>
      </c>
      <c r="E8" s="11">
        <v>3515</v>
      </c>
      <c r="F8" s="11"/>
      <c r="G8" s="11">
        <v>645</v>
      </c>
      <c r="H8" s="11">
        <v>1026</v>
      </c>
      <c r="I8" s="11">
        <v>1111</v>
      </c>
      <c r="J8" s="11">
        <v>1184</v>
      </c>
      <c r="K8" s="11">
        <v>1140</v>
      </c>
      <c r="L8" s="11">
        <v>1732</v>
      </c>
      <c r="M8" s="11"/>
      <c r="N8" s="11">
        <v>208</v>
      </c>
      <c r="O8" s="11">
        <v>200</v>
      </c>
      <c r="P8" s="11">
        <v>1002</v>
      </c>
      <c r="Q8" s="11">
        <v>1000</v>
      </c>
      <c r="R8" s="11">
        <v>1004</v>
      </c>
      <c r="S8" s="11">
        <v>1006</v>
      </c>
      <c r="T8" s="11">
        <v>1006</v>
      </c>
      <c r="U8" s="11">
        <v>1007</v>
      </c>
      <c r="V8" s="11">
        <v>405</v>
      </c>
      <c r="W8" s="11"/>
      <c r="X8" s="11">
        <v>2436</v>
      </c>
      <c r="Y8" s="11">
        <v>4402</v>
      </c>
    </row>
    <row r="9" spans="2:25" ht="29" x14ac:dyDescent="0.35">
      <c r="B9" s="18" t="s">
        <v>431</v>
      </c>
      <c r="C9" s="17">
        <v>7.3278369933533705E-2</v>
      </c>
      <c r="D9" s="17">
        <v>9.6654252629514201E-2</v>
      </c>
      <c r="E9" s="17">
        <v>5.072782802669E-2</v>
      </c>
      <c r="F9" s="17"/>
      <c r="G9" s="17">
        <v>0.18537693074935899</v>
      </c>
      <c r="H9" s="17">
        <v>0.12936983045529599</v>
      </c>
      <c r="I9" s="17">
        <v>9.03542188514979E-2</v>
      </c>
      <c r="J9" s="17">
        <v>4.8259519784596298E-2</v>
      </c>
      <c r="K9" s="17">
        <v>3.3977754451747999E-2</v>
      </c>
      <c r="L9" s="17">
        <v>3.0367637574297598E-2</v>
      </c>
      <c r="M9" s="17"/>
      <c r="N9" s="17">
        <v>7.6942757107261395E-2</v>
      </c>
      <c r="O9" s="17">
        <v>2.8775278105930401E-2</v>
      </c>
      <c r="P9" s="17">
        <v>8.3280615320970294E-2</v>
      </c>
      <c r="Q9" s="17">
        <v>6.8769635580100699E-2</v>
      </c>
      <c r="R9" s="17">
        <v>4.9565906032104201E-2</v>
      </c>
      <c r="S9" s="17">
        <v>8.5842325001379505E-2</v>
      </c>
      <c r="T9" s="17">
        <v>6.9873957443599796E-2</v>
      </c>
      <c r="U9" s="17">
        <v>7.9589778390446106E-2</v>
      </c>
      <c r="V9" s="17">
        <v>0.10009845861539</v>
      </c>
      <c r="W9" s="17"/>
      <c r="X9" s="17">
        <v>0.107596939021919</v>
      </c>
      <c r="Y9" s="17">
        <v>5.4287622583213797E-2</v>
      </c>
    </row>
    <row r="10" spans="2:25" ht="29" x14ac:dyDescent="0.35">
      <c r="B10" s="18" t="s">
        <v>432</v>
      </c>
      <c r="C10" s="17">
        <v>0.29765036127843097</v>
      </c>
      <c r="D10" s="17">
        <v>0.36860427785183297</v>
      </c>
      <c r="E10" s="17">
        <v>0.23025388116387199</v>
      </c>
      <c r="F10" s="17"/>
      <c r="G10" s="17">
        <v>0.38808505723356901</v>
      </c>
      <c r="H10" s="17">
        <v>0.387006516403607</v>
      </c>
      <c r="I10" s="17">
        <v>0.32680195869430001</v>
      </c>
      <c r="J10" s="17">
        <v>0.28331958031696097</v>
      </c>
      <c r="K10" s="17">
        <v>0.24099870879089999</v>
      </c>
      <c r="L10" s="17">
        <v>0.239480652089198</v>
      </c>
      <c r="M10" s="17"/>
      <c r="N10" s="17">
        <v>0.34110156886544901</v>
      </c>
      <c r="O10" s="17">
        <v>0.24672390244949999</v>
      </c>
      <c r="P10" s="17">
        <v>0.35779153713623801</v>
      </c>
      <c r="Q10" s="17">
        <v>0.30624599031406102</v>
      </c>
      <c r="R10" s="17">
        <v>0.213260903918634</v>
      </c>
      <c r="S10" s="17">
        <v>0.35822429159643898</v>
      </c>
      <c r="T10" s="17">
        <v>0.28698434876107398</v>
      </c>
      <c r="U10" s="17">
        <v>0.26038139024385898</v>
      </c>
      <c r="V10" s="17">
        <v>0.30836605771331199</v>
      </c>
      <c r="W10" s="17"/>
      <c r="X10" s="17">
        <v>0.36904211864528003</v>
      </c>
      <c r="Y10" s="17">
        <v>0.25814455252639801</v>
      </c>
    </row>
    <row r="11" spans="2:25" ht="29" x14ac:dyDescent="0.35">
      <c r="B11" s="18" t="s">
        <v>433</v>
      </c>
      <c r="C11" s="17">
        <v>0.51679353176237397</v>
      </c>
      <c r="D11" s="17">
        <v>0.463469350822929</v>
      </c>
      <c r="E11" s="17">
        <v>0.56768857096963499</v>
      </c>
      <c r="F11" s="17"/>
      <c r="G11" s="17">
        <v>0.35894657959790499</v>
      </c>
      <c r="H11" s="17">
        <v>0.404973926526568</v>
      </c>
      <c r="I11" s="17">
        <v>0.48720174891849299</v>
      </c>
      <c r="J11" s="17">
        <v>0.54498313082227801</v>
      </c>
      <c r="K11" s="17">
        <v>0.5911403113132</v>
      </c>
      <c r="L11" s="17">
        <v>0.59251319033814198</v>
      </c>
      <c r="M11" s="17"/>
      <c r="N11" s="17">
        <v>0.47559286068645001</v>
      </c>
      <c r="O11" s="17">
        <v>0.61112017072385305</v>
      </c>
      <c r="P11" s="17">
        <v>0.44805229508282401</v>
      </c>
      <c r="Q11" s="17">
        <v>0.57320673474914896</v>
      </c>
      <c r="R11" s="17">
        <v>0.66169768727409095</v>
      </c>
      <c r="S11" s="17">
        <v>0.49152348166565002</v>
      </c>
      <c r="T11" s="17">
        <v>0.44408054694612997</v>
      </c>
      <c r="U11" s="17">
        <v>0.46524795123997198</v>
      </c>
      <c r="V11" s="17">
        <v>0.53448115776822502</v>
      </c>
      <c r="W11" s="17"/>
      <c r="X11" s="17">
        <v>0.45075225852023898</v>
      </c>
      <c r="Y11" s="17">
        <v>0.55333856170242701</v>
      </c>
    </row>
    <row r="12" spans="2:25" x14ac:dyDescent="0.35">
      <c r="B12" s="18" t="s">
        <v>434</v>
      </c>
      <c r="C12" s="19">
        <v>0.112277737025662</v>
      </c>
      <c r="D12" s="19">
        <v>7.1272118695723696E-2</v>
      </c>
      <c r="E12" s="19">
        <v>0.15132971983980201</v>
      </c>
      <c r="F12" s="19"/>
      <c r="G12" s="19">
        <v>6.7591432419166805E-2</v>
      </c>
      <c r="H12" s="19">
        <v>7.8649726614528098E-2</v>
      </c>
      <c r="I12" s="19">
        <v>9.5642073535708597E-2</v>
      </c>
      <c r="J12" s="19">
        <v>0.12343776907616499</v>
      </c>
      <c r="K12" s="19">
        <v>0.13388322544415199</v>
      </c>
      <c r="L12" s="19">
        <v>0.13763851999836199</v>
      </c>
      <c r="M12" s="19"/>
      <c r="N12" s="19">
        <v>0.10636281334084</v>
      </c>
      <c r="O12" s="19">
        <v>0.113380648720716</v>
      </c>
      <c r="P12" s="19">
        <v>0.110875552459968</v>
      </c>
      <c r="Q12" s="19">
        <v>5.1777639356689997E-2</v>
      </c>
      <c r="R12" s="19">
        <v>7.5475502775170997E-2</v>
      </c>
      <c r="S12" s="19">
        <v>6.4409901736531994E-2</v>
      </c>
      <c r="T12" s="19">
        <v>0.19906114684919601</v>
      </c>
      <c r="U12" s="19">
        <v>0.194780880125723</v>
      </c>
      <c r="V12" s="19">
        <v>5.7054325903072599E-2</v>
      </c>
      <c r="W12" s="19"/>
      <c r="X12" s="19">
        <v>7.2608683812562205E-2</v>
      </c>
      <c r="Y12" s="19">
        <v>0.134229263187961</v>
      </c>
    </row>
    <row r="13" spans="2:25" x14ac:dyDescent="0.35">
      <c r="B13" s="16"/>
    </row>
    <row r="14" spans="2:25" x14ac:dyDescent="0.35">
      <c r="B14" t="s">
        <v>51</v>
      </c>
    </row>
    <row r="15" spans="2:25" x14ac:dyDescent="0.35">
      <c r="B15" t="s">
        <v>52</v>
      </c>
    </row>
    <row r="17" spans="2:2" x14ac:dyDescent="0.35">
      <c r="B17" s="8" t="str">
        <f>HYPERLINK("#'Contents'!A1", "Return to Contents")</f>
        <v>Return to Contents</v>
      </c>
    </row>
  </sheetData>
  <mergeCells count="5">
    <mergeCell ref="D5:E5"/>
    <mergeCell ref="G5:L5"/>
    <mergeCell ref="N5:V5"/>
    <mergeCell ref="X5:Y5"/>
    <mergeCell ref="D2:W2"/>
  </mergeCells>
  <pageMargins left="0.7" right="0.7" top="0.75" bottom="0.75" header="0.3" footer="0.3"/>
  <pageSetup paperSize="9" orientation="portrait" horizontalDpi="300" verticalDpi="300"/>
  <drawing r:id="rId1"/>
</worksheet>
</file>

<file path=xl/worksheets/sheet1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F00-000000000000}">
  <dimension ref="B2:Y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s>
  <sheetData>
    <row r="2" spans="2:25" ht="40" customHeight="1" x14ac:dyDescent="0.35">
      <c r="D2" s="30" t="s">
        <v>439</v>
      </c>
      <c r="E2" s="26"/>
      <c r="F2" s="26"/>
      <c r="G2" s="26"/>
      <c r="H2" s="26"/>
      <c r="I2" s="26"/>
      <c r="J2" s="26"/>
      <c r="K2" s="26"/>
      <c r="L2" s="26"/>
      <c r="M2" s="26"/>
      <c r="N2" s="26"/>
      <c r="O2" s="26"/>
      <c r="P2" s="26"/>
      <c r="Q2" s="26"/>
      <c r="R2" s="26"/>
      <c r="S2" s="26"/>
      <c r="T2" s="26"/>
      <c r="U2" s="26"/>
      <c r="V2" s="26"/>
      <c r="W2" s="26"/>
    </row>
    <row r="5" spans="2:25" ht="30" customHeight="1" x14ac:dyDescent="0.35">
      <c r="B5" s="15"/>
      <c r="C5" s="15"/>
      <c r="D5" s="29" t="s">
        <v>38</v>
      </c>
      <c r="E5" s="29"/>
      <c r="F5" s="15"/>
      <c r="G5" s="29" t="s">
        <v>39</v>
      </c>
      <c r="H5" s="29"/>
      <c r="I5" s="29"/>
      <c r="J5" s="29"/>
      <c r="K5" s="29"/>
      <c r="L5" s="29"/>
      <c r="M5" s="15"/>
      <c r="N5" s="29" t="s">
        <v>40</v>
      </c>
      <c r="O5" s="29"/>
      <c r="P5" s="29"/>
      <c r="Q5" s="29"/>
      <c r="R5" s="29"/>
      <c r="S5" s="29"/>
      <c r="T5" s="29"/>
      <c r="U5" s="29"/>
      <c r="V5" s="29"/>
      <c r="W5" s="15"/>
      <c r="X5" s="29" t="s">
        <v>41</v>
      </c>
      <c r="Y5" s="29"/>
    </row>
    <row r="6" spans="2:25" ht="29"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row>
    <row r="7" spans="2:25" ht="30" customHeight="1" x14ac:dyDescent="0.35">
      <c r="B7" s="10" t="s">
        <v>19</v>
      </c>
      <c r="C7" s="10">
        <v>6838</v>
      </c>
      <c r="D7" s="10">
        <v>3283</v>
      </c>
      <c r="E7" s="10">
        <v>3541</v>
      </c>
      <c r="F7" s="10"/>
      <c r="G7" s="10">
        <v>635</v>
      </c>
      <c r="H7" s="10">
        <v>1075</v>
      </c>
      <c r="I7" s="10">
        <v>1093</v>
      </c>
      <c r="J7" s="10">
        <v>1228</v>
      </c>
      <c r="K7" s="10">
        <v>1156</v>
      </c>
      <c r="L7" s="10">
        <v>1651</v>
      </c>
      <c r="M7" s="10"/>
      <c r="N7" s="10">
        <v>208</v>
      </c>
      <c r="O7" s="10">
        <v>200</v>
      </c>
      <c r="P7" s="10">
        <v>1002</v>
      </c>
      <c r="Q7" s="10">
        <v>1000</v>
      </c>
      <c r="R7" s="10">
        <v>1004</v>
      </c>
      <c r="S7" s="10">
        <v>1006</v>
      </c>
      <c r="T7" s="10">
        <v>1006</v>
      </c>
      <c r="U7" s="10">
        <v>1007</v>
      </c>
      <c r="V7" s="10">
        <v>405</v>
      </c>
      <c r="W7" s="10"/>
      <c r="X7" s="10">
        <v>2650</v>
      </c>
      <c r="Y7" s="10">
        <v>4188</v>
      </c>
    </row>
    <row r="8" spans="2:25" ht="30" customHeight="1" x14ac:dyDescent="0.35">
      <c r="B8" s="11" t="s">
        <v>20</v>
      </c>
      <c r="C8" s="11">
        <v>6838</v>
      </c>
      <c r="D8" s="11">
        <v>3309</v>
      </c>
      <c r="E8" s="11">
        <v>3515</v>
      </c>
      <c r="F8" s="11"/>
      <c r="G8" s="11">
        <v>645</v>
      </c>
      <c r="H8" s="11">
        <v>1026</v>
      </c>
      <c r="I8" s="11">
        <v>1111</v>
      </c>
      <c r="J8" s="11">
        <v>1184</v>
      </c>
      <c r="K8" s="11">
        <v>1140</v>
      </c>
      <c r="L8" s="11">
        <v>1732</v>
      </c>
      <c r="M8" s="11"/>
      <c r="N8" s="11">
        <v>208</v>
      </c>
      <c r="O8" s="11">
        <v>200</v>
      </c>
      <c r="P8" s="11">
        <v>1002</v>
      </c>
      <c r="Q8" s="11">
        <v>1000</v>
      </c>
      <c r="R8" s="11">
        <v>1004</v>
      </c>
      <c r="S8" s="11">
        <v>1006</v>
      </c>
      <c r="T8" s="11">
        <v>1006</v>
      </c>
      <c r="U8" s="11">
        <v>1007</v>
      </c>
      <c r="V8" s="11">
        <v>405</v>
      </c>
      <c r="W8" s="11"/>
      <c r="X8" s="11">
        <v>2436</v>
      </c>
      <c r="Y8" s="11">
        <v>4402</v>
      </c>
    </row>
    <row r="9" spans="2:25" ht="29" x14ac:dyDescent="0.35">
      <c r="B9" s="18" t="s">
        <v>431</v>
      </c>
      <c r="C9" s="17">
        <v>4.7477994625868797E-2</v>
      </c>
      <c r="D9" s="17">
        <v>6.8731997600274999E-2</v>
      </c>
      <c r="E9" s="17">
        <v>2.7403118200226201E-2</v>
      </c>
      <c r="F9" s="17"/>
      <c r="G9" s="17">
        <v>0.117348382889124</v>
      </c>
      <c r="H9" s="17">
        <v>0.115591305867358</v>
      </c>
      <c r="I9" s="17">
        <v>6.0367936332722999E-2</v>
      </c>
      <c r="J9" s="17">
        <v>2.5167564007788901E-2</v>
      </c>
      <c r="K9" s="17">
        <v>1.3686279615669599E-2</v>
      </c>
      <c r="L9" s="17">
        <v>1.03737839725786E-2</v>
      </c>
      <c r="M9" s="17"/>
      <c r="N9" s="17">
        <v>7.1779577836526207E-2</v>
      </c>
      <c r="O9" s="17">
        <v>1.87504726078816E-2</v>
      </c>
      <c r="P9" s="17">
        <v>4.6772512021941E-2</v>
      </c>
      <c r="Q9" s="17">
        <v>5.61617261210259E-2</v>
      </c>
      <c r="R9" s="17">
        <v>3.6692617081549403E-2</v>
      </c>
      <c r="S9" s="17">
        <v>4.6959511984690797E-2</v>
      </c>
      <c r="T9" s="17">
        <v>3.5838597427673598E-2</v>
      </c>
      <c r="U9" s="17">
        <v>5.0502542599231703E-2</v>
      </c>
      <c r="V9" s="17">
        <v>7.8904077424606103E-2</v>
      </c>
      <c r="W9" s="17"/>
      <c r="X9" s="17">
        <v>7.4040271027698099E-2</v>
      </c>
      <c r="Y9" s="17">
        <v>3.2779320013376703E-2</v>
      </c>
    </row>
    <row r="10" spans="2:25" ht="29" x14ac:dyDescent="0.35">
      <c r="B10" s="18" t="s">
        <v>432</v>
      </c>
      <c r="C10" s="17">
        <v>0.16302884330558601</v>
      </c>
      <c r="D10" s="17">
        <v>0.21502473276921599</v>
      </c>
      <c r="E10" s="17">
        <v>0.112931340294328</v>
      </c>
      <c r="F10" s="17"/>
      <c r="G10" s="17">
        <v>0.288053859555082</v>
      </c>
      <c r="H10" s="17">
        <v>0.24673843995331199</v>
      </c>
      <c r="I10" s="17">
        <v>0.228474414675747</v>
      </c>
      <c r="J10" s="17">
        <v>0.149225533853618</v>
      </c>
      <c r="K10" s="17">
        <v>0.110651932624831</v>
      </c>
      <c r="L10" s="17">
        <v>6.8874104609500802E-2</v>
      </c>
      <c r="M10" s="17"/>
      <c r="N10" s="17">
        <v>0.13518097722799</v>
      </c>
      <c r="O10" s="17">
        <v>0.13201906409918401</v>
      </c>
      <c r="P10" s="17">
        <v>0.16664762188169699</v>
      </c>
      <c r="Q10" s="17">
        <v>0.195305229277774</v>
      </c>
      <c r="R10" s="17">
        <v>0.18970227442711399</v>
      </c>
      <c r="S10" s="17">
        <v>0.16455068140985399</v>
      </c>
      <c r="T10" s="17">
        <v>0.12431551806471999</v>
      </c>
      <c r="U10" s="17">
        <v>0.168973053892533</v>
      </c>
      <c r="V10" s="17">
        <v>0.11547477178044301</v>
      </c>
      <c r="W10" s="17"/>
      <c r="X10" s="17">
        <v>0.220223589090319</v>
      </c>
      <c r="Y10" s="17">
        <v>0.13137918553092001</v>
      </c>
    </row>
    <row r="11" spans="2:25" ht="29" x14ac:dyDescent="0.35">
      <c r="B11" s="18" t="s">
        <v>433</v>
      </c>
      <c r="C11" s="17">
        <v>0.40341179633073598</v>
      </c>
      <c r="D11" s="17">
        <v>0.39856189529859298</v>
      </c>
      <c r="E11" s="17">
        <v>0.40797206416488802</v>
      </c>
      <c r="F11" s="17"/>
      <c r="G11" s="17">
        <v>0.34248250965490801</v>
      </c>
      <c r="H11" s="17">
        <v>0.372016228521654</v>
      </c>
      <c r="I11" s="17">
        <v>0.41807887165113</v>
      </c>
      <c r="J11" s="17">
        <v>0.43977807139897801</v>
      </c>
      <c r="K11" s="17">
        <v>0.41531639079437199</v>
      </c>
      <c r="L11" s="17">
        <v>0.40257720974785599</v>
      </c>
      <c r="M11" s="17"/>
      <c r="N11" s="17">
        <v>0.32548614991708003</v>
      </c>
      <c r="O11" s="17">
        <v>0.35327235411459101</v>
      </c>
      <c r="P11" s="17">
        <v>0.34739387498373903</v>
      </c>
      <c r="Q11" s="17">
        <v>0.450078769088469</v>
      </c>
      <c r="R11" s="17">
        <v>0.48488777130564198</v>
      </c>
      <c r="S11" s="17">
        <v>0.364823024555819</v>
      </c>
      <c r="T11" s="17">
        <v>0.41668836018354299</v>
      </c>
      <c r="U11" s="17">
        <v>0.408156034376985</v>
      </c>
      <c r="V11" s="17">
        <v>0.34065664055663702</v>
      </c>
      <c r="W11" s="17"/>
      <c r="X11" s="17">
        <v>0.40417762580354999</v>
      </c>
      <c r="Y11" s="17">
        <v>0.40298801193593198</v>
      </c>
    </row>
    <row r="12" spans="2:25" x14ac:dyDescent="0.35">
      <c r="B12" s="18" t="s">
        <v>434</v>
      </c>
      <c r="C12" s="19">
        <v>0.38608136573780999</v>
      </c>
      <c r="D12" s="19">
        <v>0.31768137433191501</v>
      </c>
      <c r="E12" s="19">
        <v>0.45169347734055798</v>
      </c>
      <c r="F12" s="19"/>
      <c r="G12" s="19">
        <v>0.25211524790088602</v>
      </c>
      <c r="H12" s="19">
        <v>0.26565402565767599</v>
      </c>
      <c r="I12" s="19">
        <v>0.2930787773404</v>
      </c>
      <c r="J12" s="19">
        <v>0.38582883073961499</v>
      </c>
      <c r="K12" s="19">
        <v>0.460345396965127</v>
      </c>
      <c r="L12" s="19">
        <v>0.51817490167006497</v>
      </c>
      <c r="M12" s="19"/>
      <c r="N12" s="19">
        <v>0.46755329501840398</v>
      </c>
      <c r="O12" s="19">
        <v>0.49595810917834399</v>
      </c>
      <c r="P12" s="19">
        <v>0.43918599111262302</v>
      </c>
      <c r="Q12" s="19">
        <v>0.29845427551273102</v>
      </c>
      <c r="R12" s="19">
        <v>0.28871733718569498</v>
      </c>
      <c r="S12" s="19">
        <v>0.42366678204963598</v>
      </c>
      <c r="T12" s="19">
        <v>0.423157524324064</v>
      </c>
      <c r="U12" s="19">
        <v>0.37236836913125099</v>
      </c>
      <c r="V12" s="19">
        <v>0.46496451023831398</v>
      </c>
      <c r="W12" s="19"/>
      <c r="X12" s="19">
        <v>0.30155851407843298</v>
      </c>
      <c r="Y12" s="19">
        <v>0.43285348251977102</v>
      </c>
    </row>
    <row r="13" spans="2:25" x14ac:dyDescent="0.35">
      <c r="B13" s="16"/>
    </row>
    <row r="14" spans="2:25" x14ac:dyDescent="0.35">
      <c r="B14" t="s">
        <v>51</v>
      </c>
    </row>
    <row r="15" spans="2:25" x14ac:dyDescent="0.35">
      <c r="B15" t="s">
        <v>52</v>
      </c>
    </row>
    <row r="17" spans="2:2" x14ac:dyDescent="0.35">
      <c r="B17" s="8" t="str">
        <f>HYPERLINK("#'Contents'!A1", "Return to Contents")</f>
        <v>Return to Contents</v>
      </c>
    </row>
  </sheetData>
  <mergeCells count="5">
    <mergeCell ref="D5:E5"/>
    <mergeCell ref="G5:L5"/>
    <mergeCell ref="N5:V5"/>
    <mergeCell ref="X5:Y5"/>
    <mergeCell ref="D2:W2"/>
  </mergeCells>
  <pageMargins left="0.7" right="0.7" top="0.75" bottom="0.75" header="0.3" footer="0.3"/>
  <pageSetup paperSize="9" orientation="portrait" horizontalDpi="300" verticalDpi="300"/>
  <drawing r:id="rId1"/>
</worksheet>
</file>

<file path=xl/worksheets/sheet1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000-000000000000}">
  <dimension ref="B2:Y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s>
  <sheetData>
    <row r="2" spans="2:25" ht="40" customHeight="1" x14ac:dyDescent="0.35">
      <c r="D2" s="30" t="s">
        <v>440</v>
      </c>
      <c r="E2" s="26"/>
      <c r="F2" s="26"/>
      <c r="G2" s="26"/>
      <c r="H2" s="26"/>
      <c r="I2" s="26"/>
      <c r="J2" s="26"/>
      <c r="K2" s="26"/>
      <c r="L2" s="26"/>
      <c r="M2" s="26"/>
      <c r="N2" s="26"/>
      <c r="O2" s="26"/>
      <c r="P2" s="26"/>
      <c r="Q2" s="26"/>
      <c r="R2" s="26"/>
      <c r="S2" s="26"/>
      <c r="T2" s="26"/>
      <c r="U2" s="26"/>
      <c r="V2" s="26"/>
      <c r="W2" s="26"/>
    </row>
    <row r="5" spans="2:25" ht="30" customHeight="1" x14ac:dyDescent="0.35">
      <c r="B5" s="15"/>
      <c r="C5" s="15"/>
      <c r="D5" s="29" t="s">
        <v>38</v>
      </c>
      <c r="E5" s="29"/>
      <c r="F5" s="15"/>
      <c r="G5" s="29" t="s">
        <v>39</v>
      </c>
      <c r="H5" s="29"/>
      <c r="I5" s="29"/>
      <c r="J5" s="29"/>
      <c r="K5" s="29"/>
      <c r="L5" s="29"/>
      <c r="M5" s="15"/>
      <c r="N5" s="29" t="s">
        <v>40</v>
      </c>
      <c r="O5" s="29"/>
      <c r="P5" s="29"/>
      <c r="Q5" s="29"/>
      <c r="R5" s="29"/>
      <c r="S5" s="29"/>
      <c r="T5" s="29"/>
      <c r="U5" s="29"/>
      <c r="V5" s="29"/>
      <c r="W5" s="15"/>
      <c r="X5" s="29" t="s">
        <v>41</v>
      </c>
      <c r="Y5" s="29"/>
    </row>
    <row r="6" spans="2:25" ht="29"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row>
    <row r="7" spans="2:25" ht="30" customHeight="1" x14ac:dyDescent="0.35">
      <c r="B7" s="10" t="s">
        <v>19</v>
      </c>
      <c r="C7" s="10">
        <v>6838</v>
      </c>
      <c r="D7" s="10">
        <v>3283</v>
      </c>
      <c r="E7" s="10">
        <v>3541</v>
      </c>
      <c r="F7" s="10"/>
      <c r="G7" s="10">
        <v>635</v>
      </c>
      <c r="H7" s="10">
        <v>1075</v>
      </c>
      <c r="I7" s="10">
        <v>1093</v>
      </c>
      <c r="J7" s="10">
        <v>1228</v>
      </c>
      <c r="K7" s="10">
        <v>1156</v>
      </c>
      <c r="L7" s="10">
        <v>1651</v>
      </c>
      <c r="M7" s="10"/>
      <c r="N7" s="10">
        <v>208</v>
      </c>
      <c r="O7" s="10">
        <v>200</v>
      </c>
      <c r="P7" s="10">
        <v>1002</v>
      </c>
      <c r="Q7" s="10">
        <v>1000</v>
      </c>
      <c r="R7" s="10">
        <v>1004</v>
      </c>
      <c r="S7" s="10">
        <v>1006</v>
      </c>
      <c r="T7" s="10">
        <v>1006</v>
      </c>
      <c r="U7" s="10">
        <v>1007</v>
      </c>
      <c r="V7" s="10">
        <v>405</v>
      </c>
      <c r="W7" s="10"/>
      <c r="X7" s="10">
        <v>2650</v>
      </c>
      <c r="Y7" s="10">
        <v>4188</v>
      </c>
    </row>
    <row r="8" spans="2:25" ht="30" customHeight="1" x14ac:dyDescent="0.35">
      <c r="B8" s="11" t="s">
        <v>20</v>
      </c>
      <c r="C8" s="11">
        <v>6838</v>
      </c>
      <c r="D8" s="11">
        <v>3309</v>
      </c>
      <c r="E8" s="11">
        <v>3515</v>
      </c>
      <c r="F8" s="11"/>
      <c r="G8" s="11">
        <v>645</v>
      </c>
      <c r="H8" s="11">
        <v>1026</v>
      </c>
      <c r="I8" s="11">
        <v>1111</v>
      </c>
      <c r="J8" s="11">
        <v>1184</v>
      </c>
      <c r="K8" s="11">
        <v>1140</v>
      </c>
      <c r="L8" s="11">
        <v>1732</v>
      </c>
      <c r="M8" s="11"/>
      <c r="N8" s="11">
        <v>208</v>
      </c>
      <c r="O8" s="11">
        <v>200</v>
      </c>
      <c r="P8" s="11">
        <v>1002</v>
      </c>
      <c r="Q8" s="11">
        <v>1000</v>
      </c>
      <c r="R8" s="11">
        <v>1004</v>
      </c>
      <c r="S8" s="11">
        <v>1006</v>
      </c>
      <c r="T8" s="11">
        <v>1006</v>
      </c>
      <c r="U8" s="11">
        <v>1007</v>
      </c>
      <c r="V8" s="11">
        <v>405</v>
      </c>
      <c r="W8" s="11"/>
      <c r="X8" s="11">
        <v>2436</v>
      </c>
      <c r="Y8" s="11">
        <v>4402</v>
      </c>
    </row>
    <row r="9" spans="2:25" ht="29" x14ac:dyDescent="0.35">
      <c r="B9" s="18" t="s">
        <v>431</v>
      </c>
      <c r="C9" s="17">
        <v>8.8335688248670399E-2</v>
      </c>
      <c r="D9" s="17">
        <v>0.120300062234726</v>
      </c>
      <c r="E9" s="17">
        <v>5.7460507828378297E-2</v>
      </c>
      <c r="F9" s="17"/>
      <c r="G9" s="17">
        <v>0.21516974274039</v>
      </c>
      <c r="H9" s="17">
        <v>0.17959535329837301</v>
      </c>
      <c r="I9" s="17">
        <v>0.112926210786221</v>
      </c>
      <c r="J9" s="17">
        <v>6.4606864466325103E-2</v>
      </c>
      <c r="K9" s="17">
        <v>3.1082470523336601E-2</v>
      </c>
      <c r="L9" s="17">
        <v>2.5237045924370798E-2</v>
      </c>
      <c r="M9" s="17"/>
      <c r="N9" s="17">
        <v>8.9784414054623798E-2</v>
      </c>
      <c r="O9" s="17">
        <v>4.2234108464096497E-2</v>
      </c>
      <c r="P9" s="17">
        <v>0.11923020581487</v>
      </c>
      <c r="Q9" s="17">
        <v>6.9270168412369298E-2</v>
      </c>
      <c r="R9" s="17">
        <v>6.3953542096343893E-2</v>
      </c>
      <c r="S9" s="17">
        <v>8.4384123914280407E-2</v>
      </c>
      <c r="T9" s="17">
        <v>9.1527927565530506E-2</v>
      </c>
      <c r="U9" s="17">
        <v>9.7655143973444297E-2</v>
      </c>
      <c r="V9" s="17">
        <v>0.120155584579459</v>
      </c>
      <c r="W9" s="17"/>
      <c r="X9" s="17">
        <v>0.11798571764400299</v>
      </c>
      <c r="Y9" s="17">
        <v>7.1928354489324303E-2</v>
      </c>
    </row>
    <row r="10" spans="2:25" ht="29" x14ac:dyDescent="0.35">
      <c r="B10" s="18" t="s">
        <v>432</v>
      </c>
      <c r="C10" s="17">
        <v>0.26499693274444203</v>
      </c>
      <c r="D10" s="17">
        <v>0.31656971291012098</v>
      </c>
      <c r="E10" s="17">
        <v>0.21612039051736101</v>
      </c>
      <c r="F10" s="17"/>
      <c r="G10" s="17">
        <v>0.424221049673077</v>
      </c>
      <c r="H10" s="17">
        <v>0.347725995429779</v>
      </c>
      <c r="I10" s="17">
        <v>0.33796118828049398</v>
      </c>
      <c r="J10" s="17">
        <v>0.26048029778460702</v>
      </c>
      <c r="K10" s="17">
        <v>0.21538411026332399</v>
      </c>
      <c r="L10" s="17">
        <v>0.14570727558718999</v>
      </c>
      <c r="M10" s="17"/>
      <c r="N10" s="17">
        <v>0.267297437969303</v>
      </c>
      <c r="O10" s="17">
        <v>0.221808144160488</v>
      </c>
      <c r="P10" s="17">
        <v>0.36341358816966501</v>
      </c>
      <c r="Q10" s="17">
        <v>0.23257388460717601</v>
      </c>
      <c r="R10" s="17">
        <v>0.23010922151501201</v>
      </c>
      <c r="S10" s="17">
        <v>0.28301779237484997</v>
      </c>
      <c r="T10" s="17">
        <v>0.21420808026945201</v>
      </c>
      <c r="U10" s="17">
        <v>0.265361164413912</v>
      </c>
      <c r="V10" s="17">
        <v>0.288685558956919</v>
      </c>
      <c r="W10" s="17"/>
      <c r="X10" s="17">
        <v>0.32483378289536702</v>
      </c>
      <c r="Y10" s="17">
        <v>0.23188522285558899</v>
      </c>
    </row>
    <row r="11" spans="2:25" ht="29" x14ac:dyDescent="0.35">
      <c r="B11" s="18" t="s">
        <v>433</v>
      </c>
      <c r="C11" s="17">
        <v>0.491716985912384</v>
      </c>
      <c r="D11" s="17">
        <v>0.448157657269943</v>
      </c>
      <c r="E11" s="17">
        <v>0.53321353969177399</v>
      </c>
      <c r="F11" s="17"/>
      <c r="G11" s="17">
        <v>0.29411435276397202</v>
      </c>
      <c r="H11" s="17">
        <v>0.38049428859884699</v>
      </c>
      <c r="I11" s="17">
        <v>0.44463429052792303</v>
      </c>
      <c r="J11" s="17">
        <v>0.52871107070429502</v>
      </c>
      <c r="K11" s="17">
        <v>0.57159200884782602</v>
      </c>
      <c r="L11" s="17">
        <v>0.58344249044325303</v>
      </c>
      <c r="M11" s="17"/>
      <c r="N11" s="17">
        <v>0.41965341276846002</v>
      </c>
      <c r="O11" s="17">
        <v>0.57941889108826905</v>
      </c>
      <c r="P11" s="17">
        <v>0.42566201021838801</v>
      </c>
      <c r="Q11" s="17">
        <v>0.57634519124845696</v>
      </c>
      <c r="R11" s="17">
        <v>0.60392519542647705</v>
      </c>
      <c r="S11" s="17">
        <v>0.45469061166596603</v>
      </c>
      <c r="T11" s="17">
        <v>0.43000114381461901</v>
      </c>
      <c r="U11" s="17">
        <v>0.45929936964932599</v>
      </c>
      <c r="V11" s="17">
        <v>0.48759325592489899</v>
      </c>
      <c r="W11" s="17"/>
      <c r="X11" s="17">
        <v>0.44437188902628399</v>
      </c>
      <c r="Y11" s="17">
        <v>0.51791617769467302</v>
      </c>
    </row>
    <row r="12" spans="2:25" x14ac:dyDescent="0.35">
      <c r="B12" s="18" t="s">
        <v>434</v>
      </c>
      <c r="C12" s="19">
        <v>0.15495039309450401</v>
      </c>
      <c r="D12" s="19">
        <v>0.11497256758521</v>
      </c>
      <c r="E12" s="19">
        <v>0.193205561962487</v>
      </c>
      <c r="F12" s="19"/>
      <c r="G12" s="19">
        <v>6.6494854822561206E-2</v>
      </c>
      <c r="H12" s="19">
        <v>9.2184362672999703E-2</v>
      </c>
      <c r="I12" s="19">
        <v>0.104478310405362</v>
      </c>
      <c r="J12" s="19">
        <v>0.146201767044772</v>
      </c>
      <c r="K12" s="19">
        <v>0.18194141036551401</v>
      </c>
      <c r="L12" s="19">
        <v>0.245613188045186</v>
      </c>
      <c r="M12" s="19"/>
      <c r="N12" s="19">
        <v>0.223264735207612</v>
      </c>
      <c r="O12" s="19">
        <v>0.15653885628714601</v>
      </c>
      <c r="P12" s="19">
        <v>9.1694195797076702E-2</v>
      </c>
      <c r="Q12" s="19">
        <v>0.121810755731998</v>
      </c>
      <c r="R12" s="19">
        <v>0.102012040962167</v>
      </c>
      <c r="S12" s="19">
        <v>0.17790747204490401</v>
      </c>
      <c r="T12" s="19">
        <v>0.26426284835039798</v>
      </c>
      <c r="U12" s="19">
        <v>0.17768432196331799</v>
      </c>
      <c r="V12" s="19">
        <v>0.103565600538723</v>
      </c>
      <c r="W12" s="19"/>
      <c r="X12" s="19">
        <v>0.11280861043434599</v>
      </c>
      <c r="Y12" s="19">
        <v>0.17827024496041299</v>
      </c>
    </row>
    <row r="13" spans="2:25" x14ac:dyDescent="0.35">
      <c r="B13" s="16"/>
    </row>
    <row r="14" spans="2:25" x14ac:dyDescent="0.35">
      <c r="B14" t="s">
        <v>51</v>
      </c>
    </row>
    <row r="15" spans="2:25" x14ac:dyDescent="0.35">
      <c r="B15" t="s">
        <v>52</v>
      </c>
    </row>
    <row r="17" spans="2:2" x14ac:dyDescent="0.35">
      <c r="B17" s="8" t="str">
        <f>HYPERLINK("#'Contents'!A1", "Return to Contents")</f>
        <v>Return to Contents</v>
      </c>
    </row>
  </sheetData>
  <mergeCells count="5">
    <mergeCell ref="D5:E5"/>
    <mergeCell ref="G5:L5"/>
    <mergeCell ref="N5:V5"/>
    <mergeCell ref="X5:Y5"/>
    <mergeCell ref="D2:W2"/>
  </mergeCells>
  <pageMargins left="0.7" right="0.7" top="0.75" bottom="0.75" header="0.3" footer="0.3"/>
  <pageSetup paperSize="9" orientation="portrait" horizontalDpi="300" verticalDpi="300"/>
  <drawing r:id="rId1"/>
</worksheet>
</file>

<file path=xl/worksheets/sheet1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100-000000000000}">
  <dimension ref="B2:Y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s>
  <sheetData>
    <row r="2" spans="2:25" ht="40" customHeight="1" x14ac:dyDescent="0.35">
      <c r="D2" s="30" t="s">
        <v>441</v>
      </c>
      <c r="E2" s="26"/>
      <c r="F2" s="26"/>
      <c r="G2" s="26"/>
      <c r="H2" s="26"/>
      <c r="I2" s="26"/>
      <c r="J2" s="26"/>
      <c r="K2" s="26"/>
      <c r="L2" s="26"/>
      <c r="M2" s="26"/>
      <c r="N2" s="26"/>
      <c r="O2" s="26"/>
      <c r="P2" s="26"/>
      <c r="Q2" s="26"/>
      <c r="R2" s="26"/>
      <c r="S2" s="26"/>
      <c r="T2" s="26"/>
      <c r="U2" s="26"/>
      <c r="V2" s="26"/>
      <c r="W2" s="26"/>
    </row>
    <row r="5" spans="2:25" ht="30" customHeight="1" x14ac:dyDescent="0.35">
      <c r="B5" s="15"/>
      <c r="C5" s="15"/>
      <c r="D5" s="29" t="s">
        <v>38</v>
      </c>
      <c r="E5" s="29"/>
      <c r="F5" s="15"/>
      <c r="G5" s="29" t="s">
        <v>39</v>
      </c>
      <c r="H5" s="29"/>
      <c r="I5" s="29"/>
      <c r="J5" s="29"/>
      <c r="K5" s="29"/>
      <c r="L5" s="29"/>
      <c r="M5" s="15"/>
      <c r="N5" s="29" t="s">
        <v>40</v>
      </c>
      <c r="O5" s="29"/>
      <c r="P5" s="29"/>
      <c r="Q5" s="29"/>
      <c r="R5" s="29"/>
      <c r="S5" s="29"/>
      <c r="T5" s="29"/>
      <c r="U5" s="29"/>
      <c r="V5" s="29"/>
      <c r="W5" s="15"/>
      <c r="X5" s="29" t="s">
        <v>41</v>
      </c>
      <c r="Y5" s="29"/>
    </row>
    <row r="6" spans="2:25" ht="29"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row>
    <row r="7" spans="2:25" ht="30" customHeight="1" x14ac:dyDescent="0.35">
      <c r="B7" s="10" t="s">
        <v>19</v>
      </c>
      <c r="C7" s="10">
        <v>6838</v>
      </c>
      <c r="D7" s="10">
        <v>3283</v>
      </c>
      <c r="E7" s="10">
        <v>3541</v>
      </c>
      <c r="F7" s="10"/>
      <c r="G7" s="10">
        <v>635</v>
      </c>
      <c r="H7" s="10">
        <v>1075</v>
      </c>
      <c r="I7" s="10">
        <v>1093</v>
      </c>
      <c r="J7" s="10">
        <v>1228</v>
      </c>
      <c r="K7" s="10">
        <v>1156</v>
      </c>
      <c r="L7" s="10">
        <v>1651</v>
      </c>
      <c r="M7" s="10"/>
      <c r="N7" s="10">
        <v>208</v>
      </c>
      <c r="O7" s="10">
        <v>200</v>
      </c>
      <c r="P7" s="10">
        <v>1002</v>
      </c>
      <c r="Q7" s="10">
        <v>1000</v>
      </c>
      <c r="R7" s="10">
        <v>1004</v>
      </c>
      <c r="S7" s="10">
        <v>1006</v>
      </c>
      <c r="T7" s="10">
        <v>1006</v>
      </c>
      <c r="U7" s="10">
        <v>1007</v>
      </c>
      <c r="V7" s="10">
        <v>405</v>
      </c>
      <c r="W7" s="10"/>
      <c r="X7" s="10">
        <v>2650</v>
      </c>
      <c r="Y7" s="10">
        <v>4188</v>
      </c>
    </row>
    <row r="8" spans="2:25" ht="30" customHeight="1" x14ac:dyDescent="0.35">
      <c r="B8" s="11" t="s">
        <v>20</v>
      </c>
      <c r="C8" s="11">
        <v>6838</v>
      </c>
      <c r="D8" s="11">
        <v>3309</v>
      </c>
      <c r="E8" s="11">
        <v>3515</v>
      </c>
      <c r="F8" s="11"/>
      <c r="G8" s="11">
        <v>645</v>
      </c>
      <c r="H8" s="11">
        <v>1026</v>
      </c>
      <c r="I8" s="11">
        <v>1111</v>
      </c>
      <c r="J8" s="11">
        <v>1184</v>
      </c>
      <c r="K8" s="11">
        <v>1140</v>
      </c>
      <c r="L8" s="11">
        <v>1732</v>
      </c>
      <c r="M8" s="11"/>
      <c r="N8" s="11">
        <v>208</v>
      </c>
      <c r="O8" s="11">
        <v>200</v>
      </c>
      <c r="P8" s="11">
        <v>1002</v>
      </c>
      <c r="Q8" s="11">
        <v>1000</v>
      </c>
      <c r="R8" s="11">
        <v>1004</v>
      </c>
      <c r="S8" s="11">
        <v>1006</v>
      </c>
      <c r="T8" s="11">
        <v>1006</v>
      </c>
      <c r="U8" s="11">
        <v>1007</v>
      </c>
      <c r="V8" s="11">
        <v>405</v>
      </c>
      <c r="W8" s="11"/>
      <c r="X8" s="11">
        <v>2436</v>
      </c>
      <c r="Y8" s="11">
        <v>4402</v>
      </c>
    </row>
    <row r="9" spans="2:25" ht="29" x14ac:dyDescent="0.35">
      <c r="B9" s="18" t="s">
        <v>431</v>
      </c>
      <c r="C9" s="17">
        <v>0.118499812648616</v>
      </c>
      <c r="D9" s="17">
        <v>0.13038329078526301</v>
      </c>
      <c r="E9" s="17">
        <v>0.10700199901476801</v>
      </c>
      <c r="F9" s="17"/>
      <c r="G9" s="17">
        <v>0.24082244111126999</v>
      </c>
      <c r="H9" s="17">
        <v>0.20947548035048399</v>
      </c>
      <c r="I9" s="17">
        <v>0.13703062304831801</v>
      </c>
      <c r="J9" s="17">
        <v>9.4211357219719197E-2</v>
      </c>
      <c r="K9" s="17">
        <v>7.1295994219547798E-2</v>
      </c>
      <c r="L9" s="17">
        <v>5.4902937627124303E-2</v>
      </c>
      <c r="M9" s="17"/>
      <c r="N9" s="17">
        <v>0.13131582560466201</v>
      </c>
      <c r="O9" s="17">
        <v>7.0380134119796406E-2</v>
      </c>
      <c r="P9" s="17">
        <v>0.133588704107378</v>
      </c>
      <c r="Q9" s="17">
        <v>0.106528530974644</v>
      </c>
      <c r="R9" s="17">
        <v>9.6610196779852803E-2</v>
      </c>
      <c r="S9" s="17">
        <v>9.2489814433720993E-2</v>
      </c>
      <c r="T9" s="17">
        <v>0.14560100824682401</v>
      </c>
      <c r="U9" s="17">
        <v>0.143337822784111</v>
      </c>
      <c r="V9" s="17">
        <v>0.117704679318686</v>
      </c>
      <c r="W9" s="17"/>
      <c r="X9" s="17">
        <v>0.14941827030569099</v>
      </c>
      <c r="Y9" s="17">
        <v>0.101390573148715</v>
      </c>
    </row>
    <row r="10" spans="2:25" ht="29" x14ac:dyDescent="0.35">
      <c r="B10" s="18" t="s">
        <v>432</v>
      </c>
      <c r="C10" s="17">
        <v>0.37425467527598899</v>
      </c>
      <c r="D10" s="17">
        <v>0.40387581204086398</v>
      </c>
      <c r="E10" s="17">
        <v>0.34607056945720399</v>
      </c>
      <c r="F10" s="17"/>
      <c r="G10" s="17">
        <v>0.45558808992236</v>
      </c>
      <c r="H10" s="17">
        <v>0.44931935139118401</v>
      </c>
      <c r="I10" s="17">
        <v>0.41903363558454998</v>
      </c>
      <c r="J10" s="17">
        <v>0.37135438971854501</v>
      </c>
      <c r="K10" s="17">
        <v>0.31360949830094598</v>
      </c>
      <c r="L10" s="17">
        <v>0.31272570342427097</v>
      </c>
      <c r="M10" s="17"/>
      <c r="N10" s="17">
        <v>0.37234171060945898</v>
      </c>
      <c r="O10" s="17">
        <v>0.332367377869348</v>
      </c>
      <c r="P10" s="17">
        <v>0.43043667586357398</v>
      </c>
      <c r="Q10" s="17">
        <v>0.35717729126720699</v>
      </c>
      <c r="R10" s="17">
        <v>0.36739421072411999</v>
      </c>
      <c r="S10" s="17">
        <v>0.35352211514985699</v>
      </c>
      <c r="T10" s="17">
        <v>0.42975616198046102</v>
      </c>
      <c r="U10" s="17">
        <v>0.34588350823882302</v>
      </c>
      <c r="V10" s="17">
        <v>0.300275680290021</v>
      </c>
      <c r="W10" s="17"/>
      <c r="X10" s="17">
        <v>0.43145251220278702</v>
      </c>
      <c r="Y10" s="17">
        <v>0.34260330696677799</v>
      </c>
    </row>
    <row r="11" spans="2:25" ht="29" x14ac:dyDescent="0.35">
      <c r="B11" s="18" t="s">
        <v>433</v>
      </c>
      <c r="C11" s="17">
        <v>0.43664616757637198</v>
      </c>
      <c r="D11" s="17">
        <v>0.40630608125622902</v>
      </c>
      <c r="E11" s="17">
        <v>0.46553529620885398</v>
      </c>
      <c r="F11" s="17"/>
      <c r="G11" s="17">
        <v>0.25704489097071598</v>
      </c>
      <c r="H11" s="17">
        <v>0.28219609818124097</v>
      </c>
      <c r="I11" s="17">
        <v>0.39072028968794598</v>
      </c>
      <c r="J11" s="17">
        <v>0.46503867943362798</v>
      </c>
      <c r="K11" s="17">
        <v>0.52781510154984101</v>
      </c>
      <c r="L11" s="17">
        <v>0.54496444278496103</v>
      </c>
      <c r="M11" s="17"/>
      <c r="N11" s="17">
        <v>0.38810237562217498</v>
      </c>
      <c r="O11" s="17">
        <v>0.52197123630512998</v>
      </c>
      <c r="P11" s="17">
        <v>0.36306820960793201</v>
      </c>
      <c r="Q11" s="17">
        <v>0.48502712028540801</v>
      </c>
      <c r="R11" s="17">
        <v>0.49536088348707302</v>
      </c>
      <c r="S11" s="17">
        <v>0.477147657843911</v>
      </c>
      <c r="T11" s="17">
        <v>0.35633512922594801</v>
      </c>
      <c r="U11" s="17">
        <v>0.41153793040528303</v>
      </c>
      <c r="V11" s="17">
        <v>0.49777970235264501</v>
      </c>
      <c r="W11" s="17"/>
      <c r="X11" s="17">
        <v>0.37867990118057798</v>
      </c>
      <c r="Y11" s="17">
        <v>0.468722759031242</v>
      </c>
    </row>
    <row r="12" spans="2:25" x14ac:dyDescent="0.35">
      <c r="B12" s="18" t="s">
        <v>434</v>
      </c>
      <c r="C12" s="19">
        <v>7.0599344499022706E-2</v>
      </c>
      <c r="D12" s="19">
        <v>5.9434815917644497E-2</v>
      </c>
      <c r="E12" s="19">
        <v>8.1392135319174497E-2</v>
      </c>
      <c r="F12" s="19"/>
      <c r="G12" s="19">
        <v>4.6544577995653702E-2</v>
      </c>
      <c r="H12" s="19">
        <v>5.90090700770904E-2</v>
      </c>
      <c r="I12" s="19">
        <v>5.3215451679185802E-2</v>
      </c>
      <c r="J12" s="19">
        <v>6.9395573628107707E-2</v>
      </c>
      <c r="K12" s="19">
        <v>8.7279405929665196E-2</v>
      </c>
      <c r="L12" s="19">
        <v>8.7406916163643794E-2</v>
      </c>
      <c r="M12" s="19"/>
      <c r="N12" s="19">
        <v>0.10824008816370401</v>
      </c>
      <c r="O12" s="19">
        <v>7.5281251705725596E-2</v>
      </c>
      <c r="P12" s="19">
        <v>7.2906410421115897E-2</v>
      </c>
      <c r="Q12" s="19">
        <v>5.1267057472741198E-2</v>
      </c>
      <c r="R12" s="19">
        <v>4.0634709008954398E-2</v>
      </c>
      <c r="S12" s="19">
        <v>7.6840412572510397E-2</v>
      </c>
      <c r="T12" s="19">
        <v>6.8307700546767602E-2</v>
      </c>
      <c r="U12" s="19">
        <v>9.9240738571783393E-2</v>
      </c>
      <c r="V12" s="19">
        <v>8.4239938038648002E-2</v>
      </c>
      <c r="W12" s="19"/>
      <c r="X12" s="19">
        <v>4.0449316310944297E-2</v>
      </c>
      <c r="Y12" s="19">
        <v>8.7283360853265005E-2</v>
      </c>
    </row>
    <row r="13" spans="2:25" x14ac:dyDescent="0.35">
      <c r="B13" s="16"/>
    </row>
    <row r="14" spans="2:25" x14ac:dyDescent="0.35">
      <c r="B14" t="s">
        <v>51</v>
      </c>
    </row>
    <row r="15" spans="2:25" x14ac:dyDescent="0.35">
      <c r="B15" t="s">
        <v>52</v>
      </c>
    </row>
    <row r="17" spans="2:2" x14ac:dyDescent="0.35">
      <c r="B17" s="8" t="str">
        <f>HYPERLINK("#'Contents'!A1", "Return to Contents")</f>
        <v>Return to Contents</v>
      </c>
    </row>
  </sheetData>
  <mergeCells count="5">
    <mergeCell ref="D5:E5"/>
    <mergeCell ref="G5:L5"/>
    <mergeCell ref="N5:V5"/>
    <mergeCell ref="X5:Y5"/>
    <mergeCell ref="D2:W2"/>
  </mergeCells>
  <pageMargins left="0.7" right="0.7" top="0.75" bottom="0.75" header="0.3" footer="0.3"/>
  <pageSetup paperSize="9" orientation="portrait" horizontalDpi="300" verticalDpi="300"/>
  <drawing r:id="rId1"/>
</worksheet>
</file>

<file path=xl/worksheets/sheet1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200-000000000000}">
  <dimension ref="B2:Y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s>
  <sheetData>
    <row r="2" spans="2:25" ht="40" customHeight="1" x14ac:dyDescent="0.35">
      <c r="D2" s="30" t="s">
        <v>442</v>
      </c>
      <c r="E2" s="26"/>
      <c r="F2" s="26"/>
      <c r="G2" s="26"/>
      <c r="H2" s="26"/>
      <c r="I2" s="26"/>
      <c r="J2" s="26"/>
      <c r="K2" s="26"/>
      <c r="L2" s="26"/>
      <c r="M2" s="26"/>
      <c r="N2" s="26"/>
      <c r="O2" s="26"/>
      <c r="P2" s="26"/>
      <c r="Q2" s="26"/>
      <c r="R2" s="26"/>
      <c r="S2" s="26"/>
      <c r="T2" s="26"/>
      <c r="U2" s="26"/>
      <c r="V2" s="26"/>
      <c r="W2" s="26"/>
    </row>
    <row r="5" spans="2:25" ht="30" customHeight="1" x14ac:dyDescent="0.35">
      <c r="B5" s="15"/>
      <c r="C5" s="15"/>
      <c r="D5" s="29" t="s">
        <v>38</v>
      </c>
      <c r="E5" s="29"/>
      <c r="F5" s="15"/>
      <c r="G5" s="29" t="s">
        <v>39</v>
      </c>
      <c r="H5" s="29"/>
      <c r="I5" s="29"/>
      <c r="J5" s="29"/>
      <c r="K5" s="29"/>
      <c r="L5" s="29"/>
      <c r="M5" s="15"/>
      <c r="N5" s="29" t="s">
        <v>40</v>
      </c>
      <c r="O5" s="29"/>
      <c r="P5" s="29"/>
      <c r="Q5" s="29"/>
      <c r="R5" s="29"/>
      <c r="S5" s="29"/>
      <c r="T5" s="29"/>
      <c r="U5" s="29"/>
      <c r="V5" s="29"/>
      <c r="W5" s="15"/>
      <c r="X5" s="29" t="s">
        <v>41</v>
      </c>
      <c r="Y5" s="29"/>
    </row>
    <row r="6" spans="2:25" ht="29"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row>
    <row r="7" spans="2:25" ht="30" customHeight="1" x14ac:dyDescent="0.35">
      <c r="B7" s="10" t="s">
        <v>19</v>
      </c>
      <c r="C7" s="10">
        <v>6838</v>
      </c>
      <c r="D7" s="10">
        <v>3283</v>
      </c>
      <c r="E7" s="10">
        <v>3541</v>
      </c>
      <c r="F7" s="10"/>
      <c r="G7" s="10">
        <v>635</v>
      </c>
      <c r="H7" s="10">
        <v>1075</v>
      </c>
      <c r="I7" s="10">
        <v>1093</v>
      </c>
      <c r="J7" s="10">
        <v>1228</v>
      </c>
      <c r="K7" s="10">
        <v>1156</v>
      </c>
      <c r="L7" s="10">
        <v>1651</v>
      </c>
      <c r="M7" s="10"/>
      <c r="N7" s="10">
        <v>208</v>
      </c>
      <c r="O7" s="10">
        <v>200</v>
      </c>
      <c r="P7" s="10">
        <v>1002</v>
      </c>
      <c r="Q7" s="10">
        <v>1000</v>
      </c>
      <c r="R7" s="10">
        <v>1004</v>
      </c>
      <c r="S7" s="10">
        <v>1006</v>
      </c>
      <c r="T7" s="10">
        <v>1006</v>
      </c>
      <c r="U7" s="10">
        <v>1007</v>
      </c>
      <c r="V7" s="10">
        <v>405</v>
      </c>
      <c r="W7" s="10"/>
      <c r="X7" s="10">
        <v>2650</v>
      </c>
      <c r="Y7" s="10">
        <v>4188</v>
      </c>
    </row>
    <row r="8" spans="2:25" ht="30" customHeight="1" x14ac:dyDescent="0.35">
      <c r="B8" s="11" t="s">
        <v>20</v>
      </c>
      <c r="C8" s="11">
        <v>6838</v>
      </c>
      <c r="D8" s="11">
        <v>3309</v>
      </c>
      <c r="E8" s="11">
        <v>3515</v>
      </c>
      <c r="F8" s="11"/>
      <c r="G8" s="11">
        <v>645</v>
      </c>
      <c r="H8" s="11">
        <v>1026</v>
      </c>
      <c r="I8" s="11">
        <v>1111</v>
      </c>
      <c r="J8" s="11">
        <v>1184</v>
      </c>
      <c r="K8" s="11">
        <v>1140</v>
      </c>
      <c r="L8" s="11">
        <v>1732</v>
      </c>
      <c r="M8" s="11"/>
      <c r="N8" s="11">
        <v>208</v>
      </c>
      <c r="O8" s="11">
        <v>200</v>
      </c>
      <c r="P8" s="11">
        <v>1002</v>
      </c>
      <c r="Q8" s="11">
        <v>1000</v>
      </c>
      <c r="R8" s="11">
        <v>1004</v>
      </c>
      <c r="S8" s="11">
        <v>1006</v>
      </c>
      <c r="T8" s="11">
        <v>1006</v>
      </c>
      <c r="U8" s="11">
        <v>1007</v>
      </c>
      <c r="V8" s="11">
        <v>405</v>
      </c>
      <c r="W8" s="11"/>
      <c r="X8" s="11">
        <v>2436</v>
      </c>
      <c r="Y8" s="11">
        <v>4402</v>
      </c>
    </row>
    <row r="9" spans="2:25" ht="29" x14ac:dyDescent="0.35">
      <c r="B9" s="18" t="s">
        <v>431</v>
      </c>
      <c r="C9" s="17">
        <v>6.4976017167761399E-2</v>
      </c>
      <c r="D9" s="17">
        <v>9.4597120873781096E-2</v>
      </c>
      <c r="E9" s="17">
        <v>3.7350688269757903E-2</v>
      </c>
      <c r="F9" s="17"/>
      <c r="G9" s="17">
        <v>0.17213539108220299</v>
      </c>
      <c r="H9" s="17">
        <v>0.119450259983202</v>
      </c>
      <c r="I9" s="17">
        <v>7.9723989606756404E-2</v>
      </c>
      <c r="J9" s="17">
        <v>4.3769393282134701E-2</v>
      </c>
      <c r="K9" s="17">
        <v>2.6446538845997101E-2</v>
      </c>
      <c r="L9" s="17">
        <v>2.3241320014207398E-2</v>
      </c>
      <c r="M9" s="17"/>
      <c r="N9" s="17">
        <v>6.3173397497148606E-2</v>
      </c>
      <c r="O9" s="17">
        <v>2.26129771625708E-2</v>
      </c>
      <c r="P9" s="17">
        <v>7.7321895825133102E-2</v>
      </c>
      <c r="Q9" s="17">
        <v>5.5557186567977597E-2</v>
      </c>
      <c r="R9" s="17">
        <v>3.9929156616700601E-2</v>
      </c>
      <c r="S9" s="17">
        <v>7.3192103879513901E-2</v>
      </c>
      <c r="T9" s="17">
        <v>6.31202669760388E-2</v>
      </c>
      <c r="U9" s="17">
        <v>8.0984459745417403E-2</v>
      </c>
      <c r="V9" s="17">
        <v>8.6022587182671001E-2</v>
      </c>
      <c r="W9" s="17"/>
      <c r="X9" s="17">
        <v>9.9074851900483096E-2</v>
      </c>
      <c r="Y9" s="17">
        <v>4.61068634544562E-2</v>
      </c>
    </row>
    <row r="10" spans="2:25" ht="29" x14ac:dyDescent="0.35">
      <c r="B10" s="18" t="s">
        <v>432</v>
      </c>
      <c r="C10" s="17">
        <v>0.29264720640063402</v>
      </c>
      <c r="D10" s="17">
        <v>0.35093147353173398</v>
      </c>
      <c r="E10" s="17">
        <v>0.23665819867275401</v>
      </c>
      <c r="F10" s="17"/>
      <c r="G10" s="17">
        <v>0.35518089126111502</v>
      </c>
      <c r="H10" s="17">
        <v>0.37410126161159002</v>
      </c>
      <c r="I10" s="17">
        <v>0.31364568249354402</v>
      </c>
      <c r="J10" s="17">
        <v>0.28387896343450503</v>
      </c>
      <c r="K10" s="17">
        <v>0.25573687082945401</v>
      </c>
      <c r="L10" s="17">
        <v>0.23797326095802099</v>
      </c>
      <c r="M10" s="17"/>
      <c r="N10" s="17">
        <v>0.26970794314091201</v>
      </c>
      <c r="O10" s="17">
        <v>0.232041937930514</v>
      </c>
      <c r="P10" s="17">
        <v>0.37328231103621901</v>
      </c>
      <c r="Q10" s="17">
        <v>0.29512629199124402</v>
      </c>
      <c r="R10" s="17">
        <v>0.188011455182616</v>
      </c>
      <c r="S10" s="17">
        <v>0.34162592632469202</v>
      </c>
      <c r="T10" s="17">
        <v>0.299370745453656</v>
      </c>
      <c r="U10" s="17">
        <v>0.276119088820375</v>
      </c>
      <c r="V10" s="17">
        <v>0.290865962232354</v>
      </c>
      <c r="W10" s="17"/>
      <c r="X10" s="17">
        <v>0.35335449193268897</v>
      </c>
      <c r="Y10" s="17">
        <v>0.25905382670890398</v>
      </c>
    </row>
    <row r="11" spans="2:25" ht="29" x14ac:dyDescent="0.35">
      <c r="B11" s="18" t="s">
        <v>433</v>
      </c>
      <c r="C11" s="17">
        <v>0.52585805078883496</v>
      </c>
      <c r="D11" s="17">
        <v>0.47367096619014398</v>
      </c>
      <c r="E11" s="17">
        <v>0.57538093223637898</v>
      </c>
      <c r="F11" s="17"/>
      <c r="G11" s="17">
        <v>0.38889398264358499</v>
      </c>
      <c r="H11" s="17">
        <v>0.41614443655217997</v>
      </c>
      <c r="I11" s="17">
        <v>0.51999816711423996</v>
      </c>
      <c r="J11" s="17">
        <v>0.56331294750121796</v>
      </c>
      <c r="K11" s="17">
        <v>0.58315954909166801</v>
      </c>
      <c r="L11" s="17">
        <v>0.58222470989141195</v>
      </c>
      <c r="M11" s="17"/>
      <c r="N11" s="17">
        <v>0.52266004397361698</v>
      </c>
      <c r="O11" s="17">
        <v>0.66106045621713605</v>
      </c>
      <c r="P11" s="17">
        <v>0.43357128231686798</v>
      </c>
      <c r="Q11" s="17">
        <v>0.58168858765522902</v>
      </c>
      <c r="R11" s="17">
        <v>0.66235214359555095</v>
      </c>
      <c r="S11" s="17">
        <v>0.49357385282913702</v>
      </c>
      <c r="T11" s="17">
        <v>0.503415993176626</v>
      </c>
      <c r="U11" s="17">
        <v>0.45811399576454198</v>
      </c>
      <c r="V11" s="17">
        <v>0.51721191945866496</v>
      </c>
      <c r="W11" s="17"/>
      <c r="X11" s="17">
        <v>0.47788948982742002</v>
      </c>
      <c r="Y11" s="17">
        <v>0.55240224672050497</v>
      </c>
    </row>
    <row r="12" spans="2:25" x14ac:dyDescent="0.35">
      <c r="B12" s="18" t="s">
        <v>434</v>
      </c>
      <c r="C12" s="19">
        <v>0.11651872564276999</v>
      </c>
      <c r="D12" s="19">
        <v>8.0800439404341395E-2</v>
      </c>
      <c r="E12" s="19">
        <v>0.150610180821109</v>
      </c>
      <c r="F12" s="19"/>
      <c r="G12" s="19">
        <v>8.3789735013097305E-2</v>
      </c>
      <c r="H12" s="19">
        <v>9.0304041853028802E-2</v>
      </c>
      <c r="I12" s="19">
        <v>8.6632160785459905E-2</v>
      </c>
      <c r="J12" s="19">
        <v>0.10903869578214199</v>
      </c>
      <c r="K12" s="19">
        <v>0.134657041232881</v>
      </c>
      <c r="L12" s="19">
        <v>0.156560709136359</v>
      </c>
      <c r="M12" s="19"/>
      <c r="N12" s="19">
        <v>0.144458615388322</v>
      </c>
      <c r="O12" s="19">
        <v>8.4284628689778499E-2</v>
      </c>
      <c r="P12" s="19">
        <v>0.115824510821779</v>
      </c>
      <c r="Q12" s="19">
        <v>6.7627933785549404E-2</v>
      </c>
      <c r="R12" s="19">
        <v>0.10970724460513299</v>
      </c>
      <c r="S12" s="19">
        <v>9.1608116966657605E-2</v>
      </c>
      <c r="T12" s="19">
        <v>0.13409299439368</v>
      </c>
      <c r="U12" s="19">
        <v>0.184782455669666</v>
      </c>
      <c r="V12" s="19">
        <v>0.10589953112631</v>
      </c>
      <c r="W12" s="19"/>
      <c r="X12" s="19">
        <v>6.9681166339408795E-2</v>
      </c>
      <c r="Y12" s="19">
        <v>0.14243706311613499</v>
      </c>
    </row>
    <row r="13" spans="2:25" x14ac:dyDescent="0.35">
      <c r="B13" s="16"/>
    </row>
    <row r="14" spans="2:25" x14ac:dyDescent="0.35">
      <c r="B14" t="s">
        <v>51</v>
      </c>
    </row>
    <row r="15" spans="2:25" x14ac:dyDescent="0.35">
      <c r="B15" t="s">
        <v>52</v>
      </c>
    </row>
    <row r="17" spans="2:2" x14ac:dyDescent="0.35">
      <c r="B17" s="8" t="str">
        <f>HYPERLINK("#'Contents'!A1", "Return to Contents")</f>
        <v>Return to Contents</v>
      </c>
    </row>
  </sheetData>
  <mergeCells count="5">
    <mergeCell ref="D5:E5"/>
    <mergeCell ref="G5:L5"/>
    <mergeCell ref="N5:V5"/>
    <mergeCell ref="X5:Y5"/>
    <mergeCell ref="D2:W2"/>
  </mergeCells>
  <pageMargins left="0.7" right="0.7" top="0.75" bottom="0.75" header="0.3" footer="0.3"/>
  <pageSetup paperSize="9" orientation="portrait" horizontalDpi="300" verticalDpi="300"/>
  <drawing r:id="rId1"/>
</worksheet>
</file>

<file path=xl/worksheets/sheet1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300-000000000000}">
  <dimension ref="B2:Y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s>
  <sheetData>
    <row r="2" spans="2:25" ht="40" customHeight="1" x14ac:dyDescent="0.35">
      <c r="D2" s="30" t="s">
        <v>443</v>
      </c>
      <c r="E2" s="26"/>
      <c r="F2" s="26"/>
      <c r="G2" s="26"/>
      <c r="H2" s="26"/>
      <c r="I2" s="26"/>
      <c r="J2" s="26"/>
      <c r="K2" s="26"/>
      <c r="L2" s="26"/>
      <c r="M2" s="26"/>
      <c r="N2" s="26"/>
      <c r="O2" s="26"/>
      <c r="P2" s="26"/>
      <c r="Q2" s="26"/>
      <c r="R2" s="26"/>
      <c r="S2" s="26"/>
      <c r="T2" s="26"/>
      <c r="U2" s="26"/>
      <c r="V2" s="26"/>
      <c r="W2" s="26"/>
    </row>
    <row r="5" spans="2:25" ht="30" customHeight="1" x14ac:dyDescent="0.35">
      <c r="B5" s="15"/>
      <c r="C5" s="15"/>
      <c r="D5" s="29" t="s">
        <v>38</v>
      </c>
      <c r="E5" s="29"/>
      <c r="F5" s="15"/>
      <c r="G5" s="29" t="s">
        <v>39</v>
      </c>
      <c r="H5" s="29"/>
      <c r="I5" s="29"/>
      <c r="J5" s="29"/>
      <c r="K5" s="29"/>
      <c r="L5" s="29"/>
      <c r="M5" s="15"/>
      <c r="N5" s="29" t="s">
        <v>40</v>
      </c>
      <c r="O5" s="29"/>
      <c r="P5" s="29"/>
      <c r="Q5" s="29"/>
      <c r="R5" s="29"/>
      <c r="S5" s="29"/>
      <c r="T5" s="29"/>
      <c r="U5" s="29"/>
      <c r="V5" s="29"/>
      <c r="W5" s="15"/>
      <c r="X5" s="29" t="s">
        <v>41</v>
      </c>
      <c r="Y5" s="29"/>
    </row>
    <row r="6" spans="2:25" ht="29"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row>
    <row r="7" spans="2:25" ht="30" customHeight="1" x14ac:dyDescent="0.35">
      <c r="B7" s="10" t="s">
        <v>19</v>
      </c>
      <c r="C7" s="10">
        <v>6838</v>
      </c>
      <c r="D7" s="10">
        <v>3283</v>
      </c>
      <c r="E7" s="10">
        <v>3541</v>
      </c>
      <c r="F7" s="10"/>
      <c r="G7" s="10">
        <v>635</v>
      </c>
      <c r="H7" s="10">
        <v>1075</v>
      </c>
      <c r="I7" s="10">
        <v>1093</v>
      </c>
      <c r="J7" s="10">
        <v>1228</v>
      </c>
      <c r="K7" s="10">
        <v>1156</v>
      </c>
      <c r="L7" s="10">
        <v>1651</v>
      </c>
      <c r="M7" s="10"/>
      <c r="N7" s="10">
        <v>208</v>
      </c>
      <c r="O7" s="10">
        <v>200</v>
      </c>
      <c r="P7" s="10">
        <v>1002</v>
      </c>
      <c r="Q7" s="10">
        <v>1000</v>
      </c>
      <c r="R7" s="10">
        <v>1004</v>
      </c>
      <c r="S7" s="10">
        <v>1006</v>
      </c>
      <c r="T7" s="10">
        <v>1006</v>
      </c>
      <c r="U7" s="10">
        <v>1007</v>
      </c>
      <c r="V7" s="10">
        <v>405</v>
      </c>
      <c r="W7" s="10"/>
      <c r="X7" s="10">
        <v>2650</v>
      </c>
      <c r="Y7" s="10">
        <v>4188</v>
      </c>
    </row>
    <row r="8" spans="2:25" ht="30" customHeight="1" x14ac:dyDescent="0.35">
      <c r="B8" s="11" t="s">
        <v>20</v>
      </c>
      <c r="C8" s="11">
        <v>6838</v>
      </c>
      <c r="D8" s="11">
        <v>3309</v>
      </c>
      <c r="E8" s="11">
        <v>3515</v>
      </c>
      <c r="F8" s="11"/>
      <c r="G8" s="11">
        <v>645</v>
      </c>
      <c r="H8" s="11">
        <v>1026</v>
      </c>
      <c r="I8" s="11">
        <v>1111</v>
      </c>
      <c r="J8" s="11">
        <v>1184</v>
      </c>
      <c r="K8" s="11">
        <v>1140</v>
      </c>
      <c r="L8" s="11">
        <v>1732</v>
      </c>
      <c r="M8" s="11"/>
      <c r="N8" s="11">
        <v>208</v>
      </c>
      <c r="O8" s="11">
        <v>200</v>
      </c>
      <c r="P8" s="11">
        <v>1002</v>
      </c>
      <c r="Q8" s="11">
        <v>1000</v>
      </c>
      <c r="R8" s="11">
        <v>1004</v>
      </c>
      <c r="S8" s="11">
        <v>1006</v>
      </c>
      <c r="T8" s="11">
        <v>1006</v>
      </c>
      <c r="U8" s="11">
        <v>1007</v>
      </c>
      <c r="V8" s="11">
        <v>405</v>
      </c>
      <c r="W8" s="11"/>
      <c r="X8" s="11">
        <v>2436</v>
      </c>
      <c r="Y8" s="11">
        <v>4402</v>
      </c>
    </row>
    <row r="9" spans="2:25" ht="29" x14ac:dyDescent="0.35">
      <c r="B9" s="18" t="s">
        <v>431</v>
      </c>
      <c r="C9" s="17">
        <v>7.7755466951947197E-2</v>
      </c>
      <c r="D9" s="17">
        <v>0.10719302014943</v>
      </c>
      <c r="E9" s="17">
        <v>4.9483165122462099E-2</v>
      </c>
      <c r="F9" s="17"/>
      <c r="G9" s="17">
        <v>0.201640028542447</v>
      </c>
      <c r="H9" s="17">
        <v>0.15591626343616399</v>
      </c>
      <c r="I9" s="17">
        <v>9.7664501477773502E-2</v>
      </c>
      <c r="J9" s="17">
        <v>5.5835692213288497E-2</v>
      </c>
      <c r="K9" s="17">
        <v>3.4603321209371797E-2</v>
      </c>
      <c r="L9" s="17">
        <v>1.59939444530822E-2</v>
      </c>
      <c r="M9" s="17"/>
      <c r="N9" s="17">
        <v>9.5975675579512296E-2</v>
      </c>
      <c r="O9" s="17">
        <v>1.34644461664784E-2</v>
      </c>
      <c r="P9" s="17">
        <v>0.118721404282726</v>
      </c>
      <c r="Q9" s="17">
        <v>5.8932407296244597E-2</v>
      </c>
      <c r="R9" s="17">
        <v>6.7037225102736506E-2</v>
      </c>
      <c r="S9" s="17">
        <v>5.6848443129226399E-2</v>
      </c>
      <c r="T9" s="17">
        <v>6.6290952363355304E-2</v>
      </c>
      <c r="U9" s="17">
        <v>0.100915072620788</v>
      </c>
      <c r="V9" s="17">
        <v>9.4665962662287204E-2</v>
      </c>
      <c r="W9" s="17"/>
      <c r="X9" s="17">
        <v>0.112453203049256</v>
      </c>
      <c r="Y9" s="17">
        <v>5.8554901271163202E-2</v>
      </c>
    </row>
    <row r="10" spans="2:25" ht="29" x14ac:dyDescent="0.35">
      <c r="B10" s="18" t="s">
        <v>432</v>
      </c>
      <c r="C10" s="17">
        <v>0.25254514600153599</v>
      </c>
      <c r="D10" s="17">
        <v>0.30029997156342197</v>
      </c>
      <c r="E10" s="17">
        <v>0.207213988197367</v>
      </c>
      <c r="F10" s="17"/>
      <c r="G10" s="17">
        <v>0.360068801987033</v>
      </c>
      <c r="H10" s="17">
        <v>0.35990416251873197</v>
      </c>
      <c r="I10" s="17">
        <v>0.328531554106612</v>
      </c>
      <c r="J10" s="17">
        <v>0.23221032583621401</v>
      </c>
      <c r="K10" s="17">
        <v>0.19914989285042001</v>
      </c>
      <c r="L10" s="17">
        <v>0.14927552524458201</v>
      </c>
      <c r="M10" s="17"/>
      <c r="N10" s="17">
        <v>0.203160636774984</v>
      </c>
      <c r="O10" s="17">
        <v>0.10555614142438099</v>
      </c>
      <c r="P10" s="17">
        <v>0.36190400740711798</v>
      </c>
      <c r="Q10" s="17">
        <v>0.21740834092620201</v>
      </c>
      <c r="R10" s="17">
        <v>0.24615476235035799</v>
      </c>
      <c r="S10" s="17">
        <v>0.205811690098327</v>
      </c>
      <c r="T10" s="17">
        <v>0.230849580331836</v>
      </c>
      <c r="U10" s="17">
        <v>0.282600467605295</v>
      </c>
      <c r="V10" s="17">
        <v>0.27777684184014101</v>
      </c>
      <c r="W10" s="17"/>
      <c r="X10" s="17">
        <v>0.30944051717707599</v>
      </c>
      <c r="Y10" s="17">
        <v>0.221061152114301</v>
      </c>
    </row>
    <row r="11" spans="2:25" ht="29" x14ac:dyDescent="0.35">
      <c r="B11" s="18" t="s">
        <v>433</v>
      </c>
      <c r="C11" s="17">
        <v>0.46172314741354797</v>
      </c>
      <c r="D11" s="17">
        <v>0.43048557856318598</v>
      </c>
      <c r="E11" s="17">
        <v>0.491542105407904</v>
      </c>
      <c r="F11" s="17"/>
      <c r="G11" s="17">
        <v>0.32295229755545501</v>
      </c>
      <c r="H11" s="17">
        <v>0.345199308426624</v>
      </c>
      <c r="I11" s="17">
        <v>0.42691725855267698</v>
      </c>
      <c r="J11" s="17">
        <v>0.51208378769740803</v>
      </c>
      <c r="K11" s="17">
        <v>0.53514194035907403</v>
      </c>
      <c r="L11" s="17">
        <v>0.52193339561084795</v>
      </c>
      <c r="M11" s="17"/>
      <c r="N11" s="17">
        <v>0.30219433060759998</v>
      </c>
      <c r="O11" s="17">
        <v>0.49933032548322098</v>
      </c>
      <c r="P11" s="17">
        <v>0.41176579588354401</v>
      </c>
      <c r="Q11" s="17">
        <v>0.50994079239785395</v>
      </c>
      <c r="R11" s="17">
        <v>0.57871659147290599</v>
      </c>
      <c r="S11" s="17">
        <v>0.411452035657214</v>
      </c>
      <c r="T11" s="17">
        <v>0.44753629593507999</v>
      </c>
      <c r="U11" s="17">
        <v>0.43290395593755099</v>
      </c>
      <c r="V11" s="17">
        <v>0.47136363759972799</v>
      </c>
      <c r="W11" s="17"/>
      <c r="X11" s="17">
        <v>0.43085334838543998</v>
      </c>
      <c r="Y11" s="17">
        <v>0.478805460856982</v>
      </c>
    </row>
    <row r="12" spans="2:25" x14ac:dyDescent="0.35">
      <c r="B12" s="18" t="s">
        <v>434</v>
      </c>
      <c r="C12" s="19">
        <v>0.20797623963296899</v>
      </c>
      <c r="D12" s="19">
        <v>0.162021429723962</v>
      </c>
      <c r="E12" s="19">
        <v>0.251760741272268</v>
      </c>
      <c r="F12" s="19"/>
      <c r="G12" s="19">
        <v>0.115338871915066</v>
      </c>
      <c r="H12" s="19">
        <v>0.13898026561848001</v>
      </c>
      <c r="I12" s="19">
        <v>0.14688668586293799</v>
      </c>
      <c r="J12" s="19">
        <v>0.199870194253089</v>
      </c>
      <c r="K12" s="19">
        <v>0.23110484558113401</v>
      </c>
      <c r="L12" s="19">
        <v>0.31279713469148801</v>
      </c>
      <c r="M12" s="19"/>
      <c r="N12" s="19">
        <v>0.39866935703790302</v>
      </c>
      <c r="O12" s="19">
        <v>0.38164908692591898</v>
      </c>
      <c r="P12" s="19">
        <v>0.10760879242661101</v>
      </c>
      <c r="Q12" s="19">
        <v>0.21371845937969899</v>
      </c>
      <c r="R12" s="19">
        <v>0.10809142107399899</v>
      </c>
      <c r="S12" s="19">
        <v>0.32588783111523201</v>
      </c>
      <c r="T12" s="19">
        <v>0.25532317136972899</v>
      </c>
      <c r="U12" s="19">
        <v>0.18358050383636501</v>
      </c>
      <c r="V12" s="19">
        <v>0.156193557897844</v>
      </c>
      <c r="W12" s="19"/>
      <c r="X12" s="19">
        <v>0.14725293138822801</v>
      </c>
      <c r="Y12" s="19">
        <v>0.241578485757554</v>
      </c>
    </row>
    <row r="13" spans="2:25" x14ac:dyDescent="0.35">
      <c r="B13" s="16"/>
    </row>
    <row r="14" spans="2:25" x14ac:dyDescent="0.35">
      <c r="B14" t="s">
        <v>51</v>
      </c>
    </row>
    <row r="15" spans="2:25" x14ac:dyDescent="0.35">
      <c r="B15" t="s">
        <v>52</v>
      </c>
    </row>
    <row r="17" spans="2:2" x14ac:dyDescent="0.35">
      <c r="B17" s="8" t="str">
        <f>HYPERLINK("#'Contents'!A1", "Return to Contents")</f>
        <v>Return to Contents</v>
      </c>
    </row>
  </sheetData>
  <mergeCells count="5">
    <mergeCell ref="D5:E5"/>
    <mergeCell ref="G5:L5"/>
    <mergeCell ref="N5:V5"/>
    <mergeCell ref="X5:Y5"/>
    <mergeCell ref="D2:W2"/>
  </mergeCells>
  <pageMargins left="0.7" right="0.7" top="0.75" bottom="0.75" header="0.3" footer="0.3"/>
  <pageSetup paperSize="9" orientation="portrait" horizontalDpi="300" verticalDpi="300"/>
  <drawing r:id="rId1"/>
</worksheet>
</file>

<file path=xl/worksheets/sheet1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400-000000000000}">
  <dimension ref="B2:Y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s>
  <sheetData>
    <row r="2" spans="2:25" ht="40" customHeight="1" x14ac:dyDescent="0.35">
      <c r="D2" s="30" t="s">
        <v>444</v>
      </c>
      <c r="E2" s="26"/>
      <c r="F2" s="26"/>
      <c r="G2" s="26"/>
      <c r="H2" s="26"/>
      <c r="I2" s="26"/>
      <c r="J2" s="26"/>
      <c r="K2" s="26"/>
      <c r="L2" s="26"/>
      <c r="M2" s="26"/>
      <c r="N2" s="26"/>
      <c r="O2" s="26"/>
      <c r="P2" s="26"/>
      <c r="Q2" s="26"/>
      <c r="R2" s="26"/>
      <c r="S2" s="26"/>
      <c r="T2" s="26"/>
      <c r="U2" s="26"/>
      <c r="V2" s="26"/>
      <c r="W2" s="26"/>
    </row>
    <row r="5" spans="2:25" ht="30" customHeight="1" x14ac:dyDescent="0.35">
      <c r="B5" s="15"/>
      <c r="C5" s="15"/>
      <c r="D5" s="29" t="s">
        <v>38</v>
      </c>
      <c r="E5" s="29"/>
      <c r="F5" s="15"/>
      <c r="G5" s="29" t="s">
        <v>39</v>
      </c>
      <c r="H5" s="29"/>
      <c r="I5" s="29"/>
      <c r="J5" s="29"/>
      <c r="K5" s="29"/>
      <c r="L5" s="29"/>
      <c r="M5" s="15"/>
      <c r="N5" s="29" t="s">
        <v>40</v>
      </c>
      <c r="O5" s="29"/>
      <c r="P5" s="29"/>
      <c r="Q5" s="29"/>
      <c r="R5" s="29"/>
      <c r="S5" s="29"/>
      <c r="T5" s="29"/>
      <c r="U5" s="29"/>
      <c r="V5" s="29"/>
      <c r="W5" s="15"/>
      <c r="X5" s="29" t="s">
        <v>41</v>
      </c>
      <c r="Y5" s="29"/>
    </row>
    <row r="6" spans="2:25" ht="29"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row>
    <row r="7" spans="2:25" ht="30" customHeight="1" x14ac:dyDescent="0.35">
      <c r="B7" s="10" t="s">
        <v>19</v>
      </c>
      <c r="C7" s="10">
        <v>6838</v>
      </c>
      <c r="D7" s="10">
        <v>3283</v>
      </c>
      <c r="E7" s="10">
        <v>3541</v>
      </c>
      <c r="F7" s="10"/>
      <c r="G7" s="10">
        <v>635</v>
      </c>
      <c r="H7" s="10">
        <v>1075</v>
      </c>
      <c r="I7" s="10">
        <v>1093</v>
      </c>
      <c r="J7" s="10">
        <v>1228</v>
      </c>
      <c r="K7" s="10">
        <v>1156</v>
      </c>
      <c r="L7" s="10">
        <v>1651</v>
      </c>
      <c r="M7" s="10"/>
      <c r="N7" s="10">
        <v>208</v>
      </c>
      <c r="O7" s="10">
        <v>200</v>
      </c>
      <c r="P7" s="10">
        <v>1002</v>
      </c>
      <c r="Q7" s="10">
        <v>1000</v>
      </c>
      <c r="R7" s="10">
        <v>1004</v>
      </c>
      <c r="S7" s="10">
        <v>1006</v>
      </c>
      <c r="T7" s="10">
        <v>1006</v>
      </c>
      <c r="U7" s="10">
        <v>1007</v>
      </c>
      <c r="V7" s="10">
        <v>405</v>
      </c>
      <c r="W7" s="10"/>
      <c r="X7" s="10">
        <v>2650</v>
      </c>
      <c r="Y7" s="10">
        <v>4188</v>
      </c>
    </row>
    <row r="8" spans="2:25" ht="30" customHeight="1" x14ac:dyDescent="0.35">
      <c r="B8" s="11" t="s">
        <v>20</v>
      </c>
      <c r="C8" s="11">
        <v>6838</v>
      </c>
      <c r="D8" s="11">
        <v>3309</v>
      </c>
      <c r="E8" s="11">
        <v>3515</v>
      </c>
      <c r="F8" s="11"/>
      <c r="G8" s="11">
        <v>645</v>
      </c>
      <c r="H8" s="11">
        <v>1026</v>
      </c>
      <c r="I8" s="11">
        <v>1111</v>
      </c>
      <c r="J8" s="11">
        <v>1184</v>
      </c>
      <c r="K8" s="11">
        <v>1140</v>
      </c>
      <c r="L8" s="11">
        <v>1732</v>
      </c>
      <c r="M8" s="11"/>
      <c r="N8" s="11">
        <v>208</v>
      </c>
      <c r="O8" s="11">
        <v>200</v>
      </c>
      <c r="P8" s="11">
        <v>1002</v>
      </c>
      <c r="Q8" s="11">
        <v>1000</v>
      </c>
      <c r="R8" s="11">
        <v>1004</v>
      </c>
      <c r="S8" s="11">
        <v>1006</v>
      </c>
      <c r="T8" s="11">
        <v>1006</v>
      </c>
      <c r="U8" s="11">
        <v>1007</v>
      </c>
      <c r="V8" s="11">
        <v>405</v>
      </c>
      <c r="W8" s="11"/>
      <c r="X8" s="11">
        <v>2436</v>
      </c>
      <c r="Y8" s="11">
        <v>4402</v>
      </c>
    </row>
    <row r="9" spans="2:25" ht="29" x14ac:dyDescent="0.35">
      <c r="B9" s="18" t="s">
        <v>431</v>
      </c>
      <c r="C9" s="17">
        <v>6.2803702084351098E-2</v>
      </c>
      <c r="D9" s="17">
        <v>8.5041509409422206E-2</v>
      </c>
      <c r="E9" s="17">
        <v>4.1591778134510898E-2</v>
      </c>
      <c r="F9" s="17"/>
      <c r="G9" s="17">
        <v>0.12756908725079</v>
      </c>
      <c r="H9" s="17">
        <v>0.112809273004782</v>
      </c>
      <c r="I9" s="17">
        <v>7.8169335425971903E-2</v>
      </c>
      <c r="J9" s="17">
        <v>5.4600671037742202E-2</v>
      </c>
      <c r="K9" s="17">
        <v>3.58789845393764E-2</v>
      </c>
      <c r="L9" s="17">
        <v>2.2570505227085501E-2</v>
      </c>
      <c r="M9" s="17"/>
      <c r="N9" s="17">
        <v>6.7852790164153298E-2</v>
      </c>
      <c r="O9" s="17">
        <v>5.5464562840715402E-2</v>
      </c>
      <c r="P9" s="17">
        <v>7.7547682209384003E-2</v>
      </c>
      <c r="Q9" s="17">
        <v>5.3328551055391402E-2</v>
      </c>
      <c r="R9" s="17">
        <v>4.7290535077133697E-2</v>
      </c>
      <c r="S9" s="17">
        <v>5.0389709098342901E-2</v>
      </c>
      <c r="T9" s="17">
        <v>6.6734286611852406E-2</v>
      </c>
      <c r="U9" s="17">
        <v>8.4090131070668803E-2</v>
      </c>
      <c r="V9" s="17">
        <v>5.7355294842591699E-2</v>
      </c>
      <c r="W9" s="17"/>
      <c r="X9" s="17">
        <v>9.81937238391625E-2</v>
      </c>
      <c r="Y9" s="17">
        <v>4.3220048694344197E-2</v>
      </c>
    </row>
    <row r="10" spans="2:25" ht="29" x14ac:dyDescent="0.35">
      <c r="B10" s="18" t="s">
        <v>432</v>
      </c>
      <c r="C10" s="17">
        <v>0.22706005138319901</v>
      </c>
      <c r="D10" s="17">
        <v>0.274131423103327</v>
      </c>
      <c r="E10" s="17">
        <v>0.18224138734773199</v>
      </c>
      <c r="F10" s="17"/>
      <c r="G10" s="17">
        <v>0.34653531260873699</v>
      </c>
      <c r="H10" s="17">
        <v>0.32122033072955403</v>
      </c>
      <c r="I10" s="17">
        <v>0.27338614195989203</v>
      </c>
      <c r="J10" s="17">
        <v>0.22135912337427699</v>
      </c>
      <c r="K10" s="17">
        <v>0.164624377749581</v>
      </c>
      <c r="L10" s="17">
        <v>0.14213235008707201</v>
      </c>
      <c r="M10" s="17"/>
      <c r="N10" s="17">
        <v>0.25757852270877601</v>
      </c>
      <c r="O10" s="17">
        <v>0.152399897671877</v>
      </c>
      <c r="P10" s="17">
        <v>0.26887550976135099</v>
      </c>
      <c r="Q10" s="17">
        <v>0.23774608832184099</v>
      </c>
      <c r="R10" s="17">
        <v>0.19532395340790701</v>
      </c>
      <c r="S10" s="17">
        <v>0.22029592389934</v>
      </c>
      <c r="T10" s="17">
        <v>0.23809432156985799</v>
      </c>
      <c r="U10" s="17">
        <v>0.22204803000969001</v>
      </c>
      <c r="V10" s="17">
        <v>0.19894510522095901</v>
      </c>
      <c r="W10" s="17"/>
      <c r="X10" s="17">
        <v>0.30029680456358299</v>
      </c>
      <c r="Y10" s="17">
        <v>0.18653328370753</v>
      </c>
    </row>
    <row r="11" spans="2:25" ht="29" x14ac:dyDescent="0.35">
      <c r="B11" s="18" t="s">
        <v>433</v>
      </c>
      <c r="C11" s="17">
        <v>0.51699657565036705</v>
      </c>
      <c r="D11" s="17">
        <v>0.48638987238443898</v>
      </c>
      <c r="E11" s="17">
        <v>0.54581979877365705</v>
      </c>
      <c r="F11" s="17"/>
      <c r="G11" s="17">
        <v>0.394516983223061</v>
      </c>
      <c r="H11" s="17">
        <v>0.43004830954283502</v>
      </c>
      <c r="I11" s="17">
        <v>0.494666124708595</v>
      </c>
      <c r="J11" s="17">
        <v>0.55623195596180797</v>
      </c>
      <c r="K11" s="17">
        <v>0.57461889330023797</v>
      </c>
      <c r="L11" s="17">
        <v>0.56363336841648204</v>
      </c>
      <c r="M11" s="17"/>
      <c r="N11" s="17">
        <v>0.40813418740434299</v>
      </c>
      <c r="O11" s="17">
        <v>0.56923701854326403</v>
      </c>
      <c r="P11" s="17">
        <v>0.453852813979085</v>
      </c>
      <c r="Q11" s="17">
        <v>0.59396496700478496</v>
      </c>
      <c r="R11" s="17">
        <v>0.61140686896177798</v>
      </c>
      <c r="S11" s="17">
        <v>0.52696002686483301</v>
      </c>
      <c r="T11" s="17">
        <v>0.48114118244047499</v>
      </c>
      <c r="U11" s="17">
        <v>0.450199585798576</v>
      </c>
      <c r="V11" s="17">
        <v>0.50964070888567203</v>
      </c>
      <c r="W11" s="17"/>
      <c r="X11" s="17">
        <v>0.45539316381991601</v>
      </c>
      <c r="Y11" s="17">
        <v>0.55108584163860896</v>
      </c>
    </row>
    <row r="12" spans="2:25" x14ac:dyDescent="0.35">
      <c r="B12" s="18" t="s">
        <v>434</v>
      </c>
      <c r="C12" s="19">
        <v>0.193139670882083</v>
      </c>
      <c r="D12" s="19">
        <v>0.15443719510281201</v>
      </c>
      <c r="E12" s="19">
        <v>0.23034703574410001</v>
      </c>
      <c r="F12" s="19"/>
      <c r="G12" s="19">
        <v>0.13137861691741301</v>
      </c>
      <c r="H12" s="19">
        <v>0.13592208672282899</v>
      </c>
      <c r="I12" s="19">
        <v>0.15377839790554099</v>
      </c>
      <c r="J12" s="19">
        <v>0.167808249626173</v>
      </c>
      <c r="K12" s="19">
        <v>0.22487774441080399</v>
      </c>
      <c r="L12" s="19">
        <v>0.271663776269361</v>
      </c>
      <c r="M12" s="19"/>
      <c r="N12" s="19">
        <v>0.26643449972272698</v>
      </c>
      <c r="O12" s="19">
        <v>0.222898520944144</v>
      </c>
      <c r="P12" s="19">
        <v>0.19972399405017999</v>
      </c>
      <c r="Q12" s="19">
        <v>0.11496039361798301</v>
      </c>
      <c r="R12" s="19">
        <v>0.14597864255318199</v>
      </c>
      <c r="S12" s="19">
        <v>0.20235434013748399</v>
      </c>
      <c r="T12" s="19">
        <v>0.214030209377815</v>
      </c>
      <c r="U12" s="19">
        <v>0.24366225312106399</v>
      </c>
      <c r="V12" s="19">
        <v>0.23405889105077701</v>
      </c>
      <c r="W12" s="19"/>
      <c r="X12" s="19">
        <v>0.146116307777339</v>
      </c>
      <c r="Y12" s="19">
        <v>0.219160825959518</v>
      </c>
    </row>
    <row r="13" spans="2:25" x14ac:dyDescent="0.35">
      <c r="B13" s="16"/>
    </row>
    <row r="14" spans="2:25" x14ac:dyDescent="0.35">
      <c r="B14" t="s">
        <v>51</v>
      </c>
    </row>
    <row r="15" spans="2:25" x14ac:dyDescent="0.35">
      <c r="B15" t="s">
        <v>52</v>
      </c>
    </row>
    <row r="17" spans="2:2" x14ac:dyDescent="0.35">
      <c r="B17" s="8" t="str">
        <f>HYPERLINK("#'Contents'!A1", "Return to Contents")</f>
        <v>Return to Contents</v>
      </c>
    </row>
  </sheetData>
  <mergeCells count="5">
    <mergeCell ref="D5:E5"/>
    <mergeCell ref="G5:L5"/>
    <mergeCell ref="N5:V5"/>
    <mergeCell ref="X5:Y5"/>
    <mergeCell ref="D2:W2"/>
  </mergeCells>
  <pageMargins left="0.7" right="0.7" top="0.75" bottom="0.75" header="0.3" footer="0.3"/>
  <pageSetup paperSize="9" orientation="portrait" horizontalDpi="300" verticalDpi="300"/>
  <drawing r:id="rId1"/>
</worksheet>
</file>

<file path=xl/worksheets/sheet1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500-000000000000}">
  <dimension ref="B2:Y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s>
  <sheetData>
    <row r="2" spans="2:25" ht="40" customHeight="1" x14ac:dyDescent="0.35">
      <c r="D2" s="30" t="s">
        <v>445</v>
      </c>
      <c r="E2" s="26"/>
      <c r="F2" s="26"/>
      <c r="G2" s="26"/>
      <c r="H2" s="26"/>
      <c r="I2" s="26"/>
      <c r="J2" s="26"/>
      <c r="K2" s="26"/>
      <c r="L2" s="26"/>
      <c r="M2" s="26"/>
      <c r="N2" s="26"/>
      <c r="O2" s="26"/>
      <c r="P2" s="26"/>
      <c r="Q2" s="26"/>
      <c r="R2" s="26"/>
      <c r="S2" s="26"/>
      <c r="T2" s="26"/>
      <c r="U2" s="26"/>
      <c r="V2" s="26"/>
      <c r="W2" s="26"/>
    </row>
    <row r="5" spans="2:25" ht="30" customHeight="1" x14ac:dyDescent="0.35">
      <c r="B5" s="15"/>
      <c r="C5" s="15"/>
      <c r="D5" s="29" t="s">
        <v>38</v>
      </c>
      <c r="E5" s="29"/>
      <c r="F5" s="15"/>
      <c r="G5" s="29" t="s">
        <v>39</v>
      </c>
      <c r="H5" s="29"/>
      <c r="I5" s="29"/>
      <c r="J5" s="29"/>
      <c r="K5" s="29"/>
      <c r="L5" s="29"/>
      <c r="M5" s="15"/>
      <c r="N5" s="29" t="s">
        <v>40</v>
      </c>
      <c r="O5" s="29"/>
      <c r="P5" s="29"/>
      <c r="Q5" s="29"/>
      <c r="R5" s="29"/>
      <c r="S5" s="29"/>
      <c r="T5" s="29"/>
      <c r="U5" s="29"/>
      <c r="V5" s="29"/>
      <c r="W5" s="15"/>
      <c r="X5" s="29" t="s">
        <v>41</v>
      </c>
      <c r="Y5" s="29"/>
    </row>
    <row r="6" spans="2:25" ht="29"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row>
    <row r="7" spans="2:25" ht="30" customHeight="1" x14ac:dyDescent="0.35">
      <c r="B7" s="10" t="s">
        <v>19</v>
      </c>
      <c r="C7" s="10">
        <v>6838</v>
      </c>
      <c r="D7" s="10">
        <v>3283</v>
      </c>
      <c r="E7" s="10">
        <v>3541</v>
      </c>
      <c r="F7" s="10"/>
      <c r="G7" s="10">
        <v>635</v>
      </c>
      <c r="H7" s="10">
        <v>1075</v>
      </c>
      <c r="I7" s="10">
        <v>1093</v>
      </c>
      <c r="J7" s="10">
        <v>1228</v>
      </c>
      <c r="K7" s="10">
        <v>1156</v>
      </c>
      <c r="L7" s="10">
        <v>1651</v>
      </c>
      <c r="M7" s="10"/>
      <c r="N7" s="10">
        <v>208</v>
      </c>
      <c r="O7" s="10">
        <v>200</v>
      </c>
      <c r="P7" s="10">
        <v>1002</v>
      </c>
      <c r="Q7" s="10">
        <v>1000</v>
      </c>
      <c r="R7" s="10">
        <v>1004</v>
      </c>
      <c r="S7" s="10">
        <v>1006</v>
      </c>
      <c r="T7" s="10">
        <v>1006</v>
      </c>
      <c r="U7" s="10">
        <v>1007</v>
      </c>
      <c r="V7" s="10">
        <v>405</v>
      </c>
      <c r="W7" s="10"/>
      <c r="X7" s="10">
        <v>2650</v>
      </c>
      <c r="Y7" s="10">
        <v>4188</v>
      </c>
    </row>
    <row r="8" spans="2:25" ht="30" customHeight="1" x14ac:dyDescent="0.35">
      <c r="B8" s="11" t="s">
        <v>20</v>
      </c>
      <c r="C8" s="11">
        <v>6838</v>
      </c>
      <c r="D8" s="11">
        <v>3309</v>
      </c>
      <c r="E8" s="11">
        <v>3515</v>
      </c>
      <c r="F8" s="11"/>
      <c r="G8" s="11">
        <v>645</v>
      </c>
      <c r="H8" s="11">
        <v>1026</v>
      </c>
      <c r="I8" s="11">
        <v>1111</v>
      </c>
      <c r="J8" s="11">
        <v>1184</v>
      </c>
      <c r="K8" s="11">
        <v>1140</v>
      </c>
      <c r="L8" s="11">
        <v>1732</v>
      </c>
      <c r="M8" s="11"/>
      <c r="N8" s="11">
        <v>208</v>
      </c>
      <c r="O8" s="11">
        <v>200</v>
      </c>
      <c r="P8" s="11">
        <v>1002</v>
      </c>
      <c r="Q8" s="11">
        <v>1000</v>
      </c>
      <c r="R8" s="11">
        <v>1004</v>
      </c>
      <c r="S8" s="11">
        <v>1006</v>
      </c>
      <c r="T8" s="11">
        <v>1006</v>
      </c>
      <c r="U8" s="11">
        <v>1007</v>
      </c>
      <c r="V8" s="11">
        <v>405</v>
      </c>
      <c r="W8" s="11"/>
      <c r="X8" s="11">
        <v>2436</v>
      </c>
      <c r="Y8" s="11">
        <v>4402</v>
      </c>
    </row>
    <row r="9" spans="2:25" ht="29" x14ac:dyDescent="0.35">
      <c r="B9" s="18" t="s">
        <v>431</v>
      </c>
      <c r="C9" s="17">
        <v>5.2948811972871802E-2</v>
      </c>
      <c r="D9" s="17">
        <v>6.9490986142855496E-2</v>
      </c>
      <c r="E9" s="17">
        <v>3.7026089123553201E-2</v>
      </c>
      <c r="F9" s="17"/>
      <c r="G9" s="17">
        <v>0.106848656267459</v>
      </c>
      <c r="H9" s="17">
        <v>0.103312659651077</v>
      </c>
      <c r="I9" s="17">
        <v>7.1523296284862897E-2</v>
      </c>
      <c r="J9" s="17">
        <v>3.4467264326958902E-2</v>
      </c>
      <c r="K9" s="17">
        <v>2.0358169554864899E-2</v>
      </c>
      <c r="L9" s="17">
        <v>2.5242005593261101E-2</v>
      </c>
      <c r="M9" s="17"/>
      <c r="N9" s="17">
        <v>5.2448081197251903E-2</v>
      </c>
      <c r="O9" s="17">
        <v>1.43416167715965E-2</v>
      </c>
      <c r="P9" s="17">
        <v>5.65887525181554E-2</v>
      </c>
      <c r="Q9" s="17">
        <v>5.2900449422243499E-2</v>
      </c>
      <c r="R9" s="17">
        <v>3.6650833497480398E-2</v>
      </c>
      <c r="S9" s="17">
        <v>5.1215986225062002E-2</v>
      </c>
      <c r="T9" s="17">
        <v>7.1195179079790505E-2</v>
      </c>
      <c r="U9" s="17">
        <v>5.5693027850529001E-2</v>
      </c>
      <c r="V9" s="17">
        <v>5.5945986192790002E-2</v>
      </c>
      <c r="W9" s="17"/>
      <c r="X9" s="17">
        <v>7.9916443544966007E-2</v>
      </c>
      <c r="Y9" s="17">
        <v>3.8025827378054503E-2</v>
      </c>
    </row>
    <row r="10" spans="2:25" ht="29" x14ac:dyDescent="0.35">
      <c r="B10" s="18" t="s">
        <v>432</v>
      </c>
      <c r="C10" s="17">
        <v>0.21042283763852501</v>
      </c>
      <c r="D10" s="17">
        <v>0.24460101749795299</v>
      </c>
      <c r="E10" s="17">
        <v>0.178469197105567</v>
      </c>
      <c r="F10" s="17"/>
      <c r="G10" s="17">
        <v>0.30076522268536199</v>
      </c>
      <c r="H10" s="17">
        <v>0.27479032487751298</v>
      </c>
      <c r="I10" s="17">
        <v>0.23459142609297201</v>
      </c>
      <c r="J10" s="17">
        <v>0.19213693049794101</v>
      </c>
      <c r="K10" s="17">
        <v>0.16730007618307599</v>
      </c>
      <c r="L10" s="17">
        <v>0.16407451544917501</v>
      </c>
      <c r="M10" s="17"/>
      <c r="N10" s="17">
        <v>0.18084578666600101</v>
      </c>
      <c r="O10" s="17">
        <v>0.13961748390213199</v>
      </c>
      <c r="P10" s="17">
        <v>0.24615604596659199</v>
      </c>
      <c r="Q10" s="17">
        <v>0.25062336766474602</v>
      </c>
      <c r="R10" s="17">
        <v>0.13320842655798501</v>
      </c>
      <c r="S10" s="17">
        <v>0.21815541308526201</v>
      </c>
      <c r="T10" s="17">
        <v>0.247347833915259</v>
      </c>
      <c r="U10" s="17">
        <v>0.198823303186619</v>
      </c>
      <c r="V10" s="17">
        <v>0.182241048361341</v>
      </c>
      <c r="W10" s="17"/>
      <c r="X10" s="17">
        <v>0.27089402555289699</v>
      </c>
      <c r="Y10" s="17">
        <v>0.176960106465267</v>
      </c>
    </row>
    <row r="11" spans="2:25" ht="29" x14ac:dyDescent="0.35">
      <c r="B11" s="18" t="s">
        <v>433</v>
      </c>
      <c r="C11" s="17">
        <v>0.55981614727876206</v>
      </c>
      <c r="D11" s="17">
        <v>0.54580465835401004</v>
      </c>
      <c r="E11" s="17">
        <v>0.57242726497853702</v>
      </c>
      <c r="F11" s="17"/>
      <c r="G11" s="17">
        <v>0.47431682251257501</v>
      </c>
      <c r="H11" s="17">
        <v>0.49385491587580899</v>
      </c>
      <c r="I11" s="17">
        <v>0.53558362718603503</v>
      </c>
      <c r="J11" s="17">
        <v>0.58570084796078403</v>
      </c>
      <c r="K11" s="17">
        <v>0.60428177452951704</v>
      </c>
      <c r="L11" s="17">
        <v>0.59927009407680498</v>
      </c>
      <c r="M11" s="17"/>
      <c r="N11" s="17">
        <v>0.539687544761841</v>
      </c>
      <c r="O11" s="17">
        <v>0.60573629226888404</v>
      </c>
      <c r="P11" s="17">
        <v>0.49642070553679402</v>
      </c>
      <c r="Q11" s="17">
        <v>0.59369954665288105</v>
      </c>
      <c r="R11" s="17">
        <v>0.69678562909192499</v>
      </c>
      <c r="S11" s="17">
        <v>0.57083266549175304</v>
      </c>
      <c r="T11" s="17">
        <v>0.51724075321364604</v>
      </c>
      <c r="U11" s="17">
        <v>0.46906239684141199</v>
      </c>
      <c r="V11" s="17">
        <v>0.58515305995545197</v>
      </c>
      <c r="W11" s="17"/>
      <c r="X11" s="17">
        <v>0.52086400765072804</v>
      </c>
      <c r="Y11" s="17">
        <v>0.581370957461122</v>
      </c>
    </row>
    <row r="12" spans="2:25" x14ac:dyDescent="0.35">
      <c r="B12" s="18" t="s">
        <v>434</v>
      </c>
      <c r="C12" s="19">
        <v>0.176812203109841</v>
      </c>
      <c r="D12" s="19">
        <v>0.14010333800518199</v>
      </c>
      <c r="E12" s="19">
        <v>0.212077448792343</v>
      </c>
      <c r="F12" s="19"/>
      <c r="G12" s="19">
        <v>0.118069298534604</v>
      </c>
      <c r="H12" s="19">
        <v>0.12804209959560101</v>
      </c>
      <c r="I12" s="19">
        <v>0.15830165043613001</v>
      </c>
      <c r="J12" s="19">
        <v>0.18769495721431501</v>
      </c>
      <c r="K12" s="19">
        <v>0.20805997973254201</v>
      </c>
      <c r="L12" s="19">
        <v>0.211413384880759</v>
      </c>
      <c r="M12" s="19"/>
      <c r="N12" s="19">
        <v>0.22701858737490699</v>
      </c>
      <c r="O12" s="19">
        <v>0.24030460705738699</v>
      </c>
      <c r="P12" s="19">
        <v>0.20083449597845901</v>
      </c>
      <c r="Q12" s="19">
        <v>0.10277663626013001</v>
      </c>
      <c r="R12" s="19">
        <v>0.13335511085260901</v>
      </c>
      <c r="S12" s="19">
        <v>0.15979593519792201</v>
      </c>
      <c r="T12" s="19">
        <v>0.16421623379130401</v>
      </c>
      <c r="U12" s="19">
        <v>0.27642127212144002</v>
      </c>
      <c r="V12" s="19">
        <v>0.17665990549041699</v>
      </c>
      <c r="W12" s="19"/>
      <c r="X12" s="19">
        <v>0.12832552325141</v>
      </c>
      <c r="Y12" s="19">
        <v>0.20364310869555599</v>
      </c>
    </row>
    <row r="13" spans="2:25" x14ac:dyDescent="0.35">
      <c r="B13" s="16"/>
    </row>
    <row r="14" spans="2:25" x14ac:dyDescent="0.35">
      <c r="B14" t="s">
        <v>51</v>
      </c>
    </row>
    <row r="15" spans="2:25" x14ac:dyDescent="0.35">
      <c r="B15" t="s">
        <v>52</v>
      </c>
    </row>
    <row r="17" spans="2:2" x14ac:dyDescent="0.35">
      <c r="B17" s="8" t="str">
        <f>HYPERLINK("#'Contents'!A1", "Return to Contents")</f>
        <v>Return to Contents</v>
      </c>
    </row>
  </sheetData>
  <mergeCells count="5">
    <mergeCell ref="D5:E5"/>
    <mergeCell ref="G5:L5"/>
    <mergeCell ref="N5:V5"/>
    <mergeCell ref="X5:Y5"/>
    <mergeCell ref="D2:W2"/>
  </mergeCells>
  <pageMargins left="0.7" right="0.7" top="0.75" bottom="0.75" header="0.3" footer="0.3"/>
  <pageSetup paperSize="9" orientation="portrait" horizontalDpi="300" verticalDpi="300"/>
  <drawing r:id="rId1"/>
</worksheet>
</file>

<file path=xl/worksheets/sheet1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600-000000000000}">
  <dimension ref="B2:Y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s>
  <sheetData>
    <row r="2" spans="2:25" ht="40" customHeight="1" x14ac:dyDescent="0.35">
      <c r="D2" s="30" t="s">
        <v>446</v>
      </c>
      <c r="E2" s="26"/>
      <c r="F2" s="26"/>
      <c r="G2" s="26"/>
      <c r="H2" s="26"/>
      <c r="I2" s="26"/>
      <c r="J2" s="26"/>
      <c r="K2" s="26"/>
      <c r="L2" s="26"/>
      <c r="M2" s="26"/>
      <c r="N2" s="26"/>
      <c r="O2" s="26"/>
      <c r="P2" s="26"/>
      <c r="Q2" s="26"/>
      <c r="R2" s="26"/>
      <c r="S2" s="26"/>
      <c r="T2" s="26"/>
      <c r="U2" s="26"/>
      <c r="V2" s="26"/>
      <c r="W2" s="26"/>
    </row>
    <row r="5" spans="2:25" ht="30" customHeight="1" x14ac:dyDescent="0.35">
      <c r="B5" s="15"/>
      <c r="C5" s="15"/>
      <c r="D5" s="29" t="s">
        <v>38</v>
      </c>
      <c r="E5" s="29"/>
      <c r="F5" s="15"/>
      <c r="G5" s="29" t="s">
        <v>39</v>
      </c>
      <c r="H5" s="29"/>
      <c r="I5" s="29"/>
      <c r="J5" s="29"/>
      <c r="K5" s="29"/>
      <c r="L5" s="29"/>
      <c r="M5" s="15"/>
      <c r="N5" s="29" t="s">
        <v>40</v>
      </c>
      <c r="O5" s="29"/>
      <c r="P5" s="29"/>
      <c r="Q5" s="29"/>
      <c r="R5" s="29"/>
      <c r="S5" s="29"/>
      <c r="T5" s="29"/>
      <c r="U5" s="29"/>
      <c r="V5" s="29"/>
      <c r="W5" s="15"/>
      <c r="X5" s="29" t="s">
        <v>41</v>
      </c>
      <c r="Y5" s="29"/>
    </row>
    <row r="6" spans="2:25" ht="29"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row>
    <row r="7" spans="2:25" ht="30" customHeight="1" x14ac:dyDescent="0.35">
      <c r="B7" s="10" t="s">
        <v>19</v>
      </c>
      <c r="C7" s="10">
        <v>6838</v>
      </c>
      <c r="D7" s="10">
        <v>3283</v>
      </c>
      <c r="E7" s="10">
        <v>3541</v>
      </c>
      <c r="F7" s="10"/>
      <c r="G7" s="10">
        <v>635</v>
      </c>
      <c r="H7" s="10">
        <v>1075</v>
      </c>
      <c r="I7" s="10">
        <v>1093</v>
      </c>
      <c r="J7" s="10">
        <v>1228</v>
      </c>
      <c r="K7" s="10">
        <v>1156</v>
      </c>
      <c r="L7" s="10">
        <v>1651</v>
      </c>
      <c r="M7" s="10"/>
      <c r="N7" s="10">
        <v>208</v>
      </c>
      <c r="O7" s="10">
        <v>200</v>
      </c>
      <c r="P7" s="10">
        <v>1002</v>
      </c>
      <c r="Q7" s="10">
        <v>1000</v>
      </c>
      <c r="R7" s="10">
        <v>1004</v>
      </c>
      <c r="S7" s="10">
        <v>1006</v>
      </c>
      <c r="T7" s="10">
        <v>1006</v>
      </c>
      <c r="U7" s="10">
        <v>1007</v>
      </c>
      <c r="V7" s="10">
        <v>405</v>
      </c>
      <c r="W7" s="10"/>
      <c r="X7" s="10">
        <v>2650</v>
      </c>
      <c r="Y7" s="10">
        <v>4188</v>
      </c>
    </row>
    <row r="8" spans="2:25" ht="30" customHeight="1" x14ac:dyDescent="0.35">
      <c r="B8" s="11" t="s">
        <v>20</v>
      </c>
      <c r="C8" s="11">
        <v>6838</v>
      </c>
      <c r="D8" s="11">
        <v>3309</v>
      </c>
      <c r="E8" s="11">
        <v>3515</v>
      </c>
      <c r="F8" s="11"/>
      <c r="G8" s="11">
        <v>645</v>
      </c>
      <c r="H8" s="11">
        <v>1026</v>
      </c>
      <c r="I8" s="11">
        <v>1111</v>
      </c>
      <c r="J8" s="11">
        <v>1184</v>
      </c>
      <c r="K8" s="11">
        <v>1140</v>
      </c>
      <c r="L8" s="11">
        <v>1732</v>
      </c>
      <c r="M8" s="11"/>
      <c r="N8" s="11">
        <v>208</v>
      </c>
      <c r="O8" s="11">
        <v>200</v>
      </c>
      <c r="P8" s="11">
        <v>1002</v>
      </c>
      <c r="Q8" s="11">
        <v>1000</v>
      </c>
      <c r="R8" s="11">
        <v>1004</v>
      </c>
      <c r="S8" s="11">
        <v>1006</v>
      </c>
      <c r="T8" s="11">
        <v>1006</v>
      </c>
      <c r="U8" s="11">
        <v>1007</v>
      </c>
      <c r="V8" s="11">
        <v>405</v>
      </c>
      <c r="W8" s="11"/>
      <c r="X8" s="11">
        <v>2436</v>
      </c>
      <c r="Y8" s="11">
        <v>4402</v>
      </c>
    </row>
    <row r="9" spans="2:25" ht="29" x14ac:dyDescent="0.35">
      <c r="B9" s="18" t="s">
        <v>431</v>
      </c>
      <c r="C9" s="17">
        <v>9.2850536437597497E-2</v>
      </c>
      <c r="D9" s="17">
        <v>0.104519813888273</v>
      </c>
      <c r="E9" s="17">
        <v>8.1418500293238702E-2</v>
      </c>
      <c r="F9" s="17"/>
      <c r="G9" s="17">
        <v>0.20792216421238</v>
      </c>
      <c r="H9" s="17">
        <v>0.17422194517385001</v>
      </c>
      <c r="I9" s="17">
        <v>0.107612999707858</v>
      </c>
      <c r="J9" s="17">
        <v>7.1339448206211797E-2</v>
      </c>
      <c r="K9" s="17">
        <v>5.3888213740221798E-2</v>
      </c>
      <c r="L9" s="17">
        <v>3.2732267810891703E-2</v>
      </c>
      <c r="M9" s="17"/>
      <c r="N9" s="17">
        <v>0.24473504884422001</v>
      </c>
      <c r="O9" s="17">
        <v>6.7378010563549404E-2</v>
      </c>
      <c r="P9" s="17">
        <v>0.10482629776521001</v>
      </c>
      <c r="Q9" s="17">
        <v>7.3419358410639707E-2</v>
      </c>
      <c r="R9" s="17">
        <v>5.0440575540816303E-2</v>
      </c>
      <c r="S9" s="17">
        <v>8.2177970896500405E-2</v>
      </c>
      <c r="T9" s="17">
        <v>0.111102779352104</v>
      </c>
      <c r="U9" s="17">
        <v>0.106644729910538</v>
      </c>
      <c r="V9" s="17">
        <v>9.7783090132386896E-2</v>
      </c>
      <c r="W9" s="17"/>
      <c r="X9" s="17">
        <v>0.12770551972640801</v>
      </c>
      <c r="Y9" s="17">
        <v>7.3562955424744905E-2</v>
      </c>
    </row>
    <row r="10" spans="2:25" ht="29" x14ac:dyDescent="0.35">
      <c r="B10" s="18" t="s">
        <v>432</v>
      </c>
      <c r="C10" s="17">
        <v>0.25056685255898697</v>
      </c>
      <c r="D10" s="17">
        <v>0.28898465671576201</v>
      </c>
      <c r="E10" s="17">
        <v>0.213867352931775</v>
      </c>
      <c r="F10" s="17"/>
      <c r="G10" s="17">
        <v>0.33047800413725698</v>
      </c>
      <c r="H10" s="17">
        <v>0.32668699788052402</v>
      </c>
      <c r="I10" s="17">
        <v>0.29432832621423599</v>
      </c>
      <c r="J10" s="17">
        <v>0.24335804263349001</v>
      </c>
      <c r="K10" s="17">
        <v>0.208695479523127</v>
      </c>
      <c r="L10" s="17">
        <v>0.18018196229570899</v>
      </c>
      <c r="M10" s="17"/>
      <c r="N10" s="17">
        <v>0.34255128933859902</v>
      </c>
      <c r="O10" s="17">
        <v>0.27676316350343699</v>
      </c>
      <c r="P10" s="17">
        <v>0.304343678570488</v>
      </c>
      <c r="Q10" s="17">
        <v>0.28062542420630499</v>
      </c>
      <c r="R10" s="17">
        <v>0.168560031729067</v>
      </c>
      <c r="S10" s="17">
        <v>0.22919646425546999</v>
      </c>
      <c r="T10" s="17">
        <v>0.27158652206579398</v>
      </c>
      <c r="U10" s="17">
        <v>0.22975385308614199</v>
      </c>
      <c r="V10" s="17">
        <v>0.239039408958967</v>
      </c>
      <c r="W10" s="17"/>
      <c r="X10" s="17">
        <v>0.30456917877032802</v>
      </c>
      <c r="Y10" s="17">
        <v>0.22068377291286501</v>
      </c>
    </row>
    <row r="11" spans="2:25" ht="29" x14ac:dyDescent="0.35">
      <c r="B11" s="18" t="s">
        <v>433</v>
      </c>
      <c r="C11" s="17">
        <v>0.45023263271023301</v>
      </c>
      <c r="D11" s="17">
        <v>0.43859698684577703</v>
      </c>
      <c r="E11" s="17">
        <v>0.461908473286403</v>
      </c>
      <c r="F11" s="17"/>
      <c r="G11" s="17">
        <v>0.336982706644881</v>
      </c>
      <c r="H11" s="17">
        <v>0.36438846305342099</v>
      </c>
      <c r="I11" s="17">
        <v>0.43416313273769502</v>
      </c>
      <c r="J11" s="17">
        <v>0.47923356576686998</v>
      </c>
      <c r="K11" s="17">
        <v>0.47070724526441798</v>
      </c>
      <c r="L11" s="17">
        <v>0.52020996263205599</v>
      </c>
      <c r="M11" s="17"/>
      <c r="N11" s="17">
        <v>0.30206148998799898</v>
      </c>
      <c r="O11" s="17">
        <v>0.45554924308271599</v>
      </c>
      <c r="P11" s="17">
        <v>0.382865997412346</v>
      </c>
      <c r="Q11" s="17">
        <v>0.50733478112788599</v>
      </c>
      <c r="R11" s="17">
        <v>0.52242848851583801</v>
      </c>
      <c r="S11" s="17">
        <v>0.52013425961432302</v>
      </c>
      <c r="T11" s="17">
        <v>0.38790536963153099</v>
      </c>
      <c r="U11" s="17">
        <v>0.40048526701436399</v>
      </c>
      <c r="V11" s="17">
        <v>0.47528607414512303</v>
      </c>
      <c r="W11" s="17"/>
      <c r="X11" s="17">
        <v>0.41770326160623</v>
      </c>
      <c r="Y11" s="17">
        <v>0.468233297787787</v>
      </c>
    </row>
    <row r="12" spans="2:25" x14ac:dyDescent="0.35">
      <c r="B12" s="18" t="s">
        <v>434</v>
      </c>
      <c r="C12" s="19">
        <v>0.206349978293183</v>
      </c>
      <c r="D12" s="19">
        <v>0.16789854255018799</v>
      </c>
      <c r="E12" s="19">
        <v>0.24280567348858301</v>
      </c>
      <c r="F12" s="19"/>
      <c r="G12" s="19">
        <v>0.124617125005482</v>
      </c>
      <c r="H12" s="19">
        <v>0.13470259389220501</v>
      </c>
      <c r="I12" s="19">
        <v>0.163895541340211</v>
      </c>
      <c r="J12" s="19">
        <v>0.20606894339342799</v>
      </c>
      <c r="K12" s="19">
        <v>0.266709061472233</v>
      </c>
      <c r="L12" s="19">
        <v>0.26687580726134302</v>
      </c>
      <c r="M12" s="19"/>
      <c r="N12" s="19">
        <v>0.11065217182918299</v>
      </c>
      <c r="O12" s="19">
        <v>0.20030958285029701</v>
      </c>
      <c r="P12" s="19">
        <v>0.20796402625195601</v>
      </c>
      <c r="Q12" s="19">
        <v>0.13862043625516901</v>
      </c>
      <c r="R12" s="19">
        <v>0.25857090421427797</v>
      </c>
      <c r="S12" s="19">
        <v>0.16849130523370701</v>
      </c>
      <c r="T12" s="19">
        <v>0.229405328950571</v>
      </c>
      <c r="U12" s="19">
        <v>0.26311614998895599</v>
      </c>
      <c r="V12" s="19">
        <v>0.187891426763523</v>
      </c>
      <c r="W12" s="19"/>
      <c r="X12" s="19">
        <v>0.150022039897034</v>
      </c>
      <c r="Y12" s="19">
        <v>0.237519973874603</v>
      </c>
    </row>
    <row r="13" spans="2:25" x14ac:dyDescent="0.35">
      <c r="B13" s="16"/>
    </row>
    <row r="14" spans="2:25" x14ac:dyDescent="0.35">
      <c r="B14" t="s">
        <v>51</v>
      </c>
    </row>
    <row r="15" spans="2:25" x14ac:dyDescent="0.35">
      <c r="B15" t="s">
        <v>52</v>
      </c>
    </row>
    <row r="17" spans="2:2" x14ac:dyDescent="0.35">
      <c r="B17" s="8" t="str">
        <f>HYPERLINK("#'Contents'!A1", "Return to Contents")</f>
        <v>Return to Contents</v>
      </c>
    </row>
  </sheetData>
  <mergeCells count="5">
    <mergeCell ref="D5:E5"/>
    <mergeCell ref="G5:L5"/>
    <mergeCell ref="N5:V5"/>
    <mergeCell ref="X5:Y5"/>
    <mergeCell ref="D2:W2"/>
  </mergeCells>
  <pageMargins left="0.7" right="0.7" top="0.75" bottom="0.75" header="0.3" footer="0.3"/>
  <pageSetup paperSize="9" orientation="portrait" horizontalDpi="300" verticalDpi="300"/>
  <drawing r:id="rId1"/>
</worksheet>
</file>

<file path=xl/worksheets/sheet1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700-000000000000}">
  <dimension ref="B2:Y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s>
  <sheetData>
    <row r="2" spans="2:25" ht="40" customHeight="1" x14ac:dyDescent="0.35">
      <c r="D2" s="30" t="s">
        <v>447</v>
      </c>
      <c r="E2" s="26"/>
      <c r="F2" s="26"/>
      <c r="G2" s="26"/>
      <c r="H2" s="26"/>
      <c r="I2" s="26"/>
      <c r="J2" s="26"/>
      <c r="K2" s="26"/>
      <c r="L2" s="26"/>
      <c r="M2" s="26"/>
      <c r="N2" s="26"/>
      <c r="O2" s="26"/>
      <c r="P2" s="26"/>
      <c r="Q2" s="26"/>
      <c r="R2" s="26"/>
      <c r="S2" s="26"/>
      <c r="T2" s="26"/>
      <c r="U2" s="26"/>
      <c r="V2" s="26"/>
      <c r="W2" s="26"/>
    </row>
    <row r="5" spans="2:25" ht="30" customHeight="1" x14ac:dyDescent="0.35">
      <c r="B5" s="15"/>
      <c r="C5" s="15"/>
      <c r="D5" s="29" t="s">
        <v>38</v>
      </c>
      <c r="E5" s="29"/>
      <c r="F5" s="15"/>
      <c r="G5" s="29" t="s">
        <v>39</v>
      </c>
      <c r="H5" s="29"/>
      <c r="I5" s="29"/>
      <c r="J5" s="29"/>
      <c r="K5" s="29"/>
      <c r="L5" s="29"/>
      <c r="M5" s="15"/>
      <c r="N5" s="29" t="s">
        <v>40</v>
      </c>
      <c r="O5" s="29"/>
      <c r="P5" s="29"/>
      <c r="Q5" s="29"/>
      <c r="R5" s="29"/>
      <c r="S5" s="29"/>
      <c r="T5" s="29"/>
      <c r="U5" s="29"/>
      <c r="V5" s="29"/>
      <c r="W5" s="15"/>
      <c r="X5" s="29" t="s">
        <v>41</v>
      </c>
      <c r="Y5" s="29"/>
    </row>
    <row r="6" spans="2:25" ht="29"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row>
    <row r="7" spans="2:25" ht="30" customHeight="1" x14ac:dyDescent="0.35">
      <c r="B7" s="10" t="s">
        <v>19</v>
      </c>
      <c r="C7" s="10">
        <v>6838</v>
      </c>
      <c r="D7" s="10">
        <v>3283</v>
      </c>
      <c r="E7" s="10">
        <v>3541</v>
      </c>
      <c r="F7" s="10"/>
      <c r="G7" s="10">
        <v>635</v>
      </c>
      <c r="H7" s="10">
        <v>1075</v>
      </c>
      <c r="I7" s="10">
        <v>1093</v>
      </c>
      <c r="J7" s="10">
        <v>1228</v>
      </c>
      <c r="K7" s="10">
        <v>1156</v>
      </c>
      <c r="L7" s="10">
        <v>1651</v>
      </c>
      <c r="M7" s="10"/>
      <c r="N7" s="10">
        <v>208</v>
      </c>
      <c r="O7" s="10">
        <v>200</v>
      </c>
      <c r="P7" s="10">
        <v>1002</v>
      </c>
      <c r="Q7" s="10">
        <v>1000</v>
      </c>
      <c r="R7" s="10">
        <v>1004</v>
      </c>
      <c r="S7" s="10">
        <v>1006</v>
      </c>
      <c r="T7" s="10">
        <v>1006</v>
      </c>
      <c r="U7" s="10">
        <v>1007</v>
      </c>
      <c r="V7" s="10">
        <v>405</v>
      </c>
      <c r="W7" s="10"/>
      <c r="X7" s="10">
        <v>2650</v>
      </c>
      <c r="Y7" s="10">
        <v>4188</v>
      </c>
    </row>
    <row r="8" spans="2:25" ht="30" customHeight="1" x14ac:dyDescent="0.35">
      <c r="B8" s="11" t="s">
        <v>20</v>
      </c>
      <c r="C8" s="11">
        <v>6838</v>
      </c>
      <c r="D8" s="11">
        <v>3309</v>
      </c>
      <c r="E8" s="11">
        <v>3515</v>
      </c>
      <c r="F8" s="11"/>
      <c r="G8" s="11">
        <v>645</v>
      </c>
      <c r="H8" s="11">
        <v>1026</v>
      </c>
      <c r="I8" s="11">
        <v>1111</v>
      </c>
      <c r="J8" s="11">
        <v>1184</v>
      </c>
      <c r="K8" s="11">
        <v>1140</v>
      </c>
      <c r="L8" s="11">
        <v>1732</v>
      </c>
      <c r="M8" s="11"/>
      <c r="N8" s="11">
        <v>208</v>
      </c>
      <c r="O8" s="11">
        <v>200</v>
      </c>
      <c r="P8" s="11">
        <v>1002</v>
      </c>
      <c r="Q8" s="11">
        <v>1000</v>
      </c>
      <c r="R8" s="11">
        <v>1004</v>
      </c>
      <c r="S8" s="11">
        <v>1006</v>
      </c>
      <c r="T8" s="11">
        <v>1006</v>
      </c>
      <c r="U8" s="11">
        <v>1007</v>
      </c>
      <c r="V8" s="11">
        <v>405</v>
      </c>
      <c r="W8" s="11"/>
      <c r="X8" s="11">
        <v>2436</v>
      </c>
      <c r="Y8" s="11">
        <v>4402</v>
      </c>
    </row>
    <row r="9" spans="2:25" ht="29" x14ac:dyDescent="0.35">
      <c r="B9" s="18" t="s">
        <v>431</v>
      </c>
      <c r="C9" s="17">
        <v>7.8660120966140099E-2</v>
      </c>
      <c r="D9" s="17">
        <v>0.122102751664763</v>
      </c>
      <c r="E9" s="17">
        <v>3.8077954063196397E-2</v>
      </c>
      <c r="F9" s="17"/>
      <c r="G9" s="17">
        <v>0.168156957033188</v>
      </c>
      <c r="H9" s="17">
        <v>0.167342427712666</v>
      </c>
      <c r="I9" s="17">
        <v>0.10767405668458301</v>
      </c>
      <c r="J9" s="17">
        <v>6.1867755781653502E-2</v>
      </c>
      <c r="K9" s="17">
        <v>2.8258693167311999E-2</v>
      </c>
      <c r="L9" s="17">
        <v>1.8894746668975101E-2</v>
      </c>
      <c r="M9" s="17"/>
      <c r="N9" s="17">
        <v>0.102047127897801</v>
      </c>
      <c r="O9" s="17">
        <v>5.4058016407256299E-2</v>
      </c>
      <c r="P9" s="17">
        <v>7.5860793437580301E-2</v>
      </c>
      <c r="Q9" s="17">
        <v>8.0568456774219199E-2</v>
      </c>
      <c r="R9" s="17">
        <v>6.2187613264296102E-2</v>
      </c>
      <c r="S9" s="17">
        <v>9.0400882103918195E-2</v>
      </c>
      <c r="T9" s="17">
        <v>8.2241177115445194E-2</v>
      </c>
      <c r="U9" s="17">
        <v>7.2541248396340602E-2</v>
      </c>
      <c r="V9" s="17">
        <v>9.9003005077654596E-2</v>
      </c>
      <c r="W9" s="17"/>
      <c r="X9" s="17">
        <v>0.117949413469752</v>
      </c>
      <c r="Y9" s="17">
        <v>5.6918741668323398E-2</v>
      </c>
    </row>
    <row r="10" spans="2:25" ht="29" x14ac:dyDescent="0.35">
      <c r="B10" s="18" t="s">
        <v>432</v>
      </c>
      <c r="C10" s="17">
        <v>0.21535221009182001</v>
      </c>
      <c r="D10" s="17">
        <v>0.27188494713996397</v>
      </c>
      <c r="E10" s="17">
        <v>0.16188460568483101</v>
      </c>
      <c r="F10" s="17"/>
      <c r="G10" s="17">
        <v>0.35456612487024203</v>
      </c>
      <c r="H10" s="17">
        <v>0.328186001579231</v>
      </c>
      <c r="I10" s="17">
        <v>0.28855209034766399</v>
      </c>
      <c r="J10" s="17">
        <v>0.202343103697736</v>
      </c>
      <c r="K10" s="17">
        <v>0.15584086722110899</v>
      </c>
      <c r="L10" s="17">
        <v>9.78553141939138E-2</v>
      </c>
      <c r="M10" s="17"/>
      <c r="N10" s="17">
        <v>0.210785823606193</v>
      </c>
      <c r="O10" s="17">
        <v>0.21556496286473401</v>
      </c>
      <c r="P10" s="17">
        <v>0.20016620597103599</v>
      </c>
      <c r="Q10" s="17">
        <v>0.22087422102395601</v>
      </c>
      <c r="R10" s="17">
        <v>0.18376030151248601</v>
      </c>
      <c r="S10" s="17">
        <v>0.234172384729604</v>
      </c>
      <c r="T10" s="17">
        <v>0.273337141496309</v>
      </c>
      <c r="U10" s="17">
        <v>0.19293560552823699</v>
      </c>
      <c r="V10" s="17">
        <v>0.18480278629421801</v>
      </c>
      <c r="W10" s="17"/>
      <c r="X10" s="17">
        <v>0.28184551294358801</v>
      </c>
      <c r="Y10" s="17">
        <v>0.17855704209708001</v>
      </c>
    </row>
    <row r="11" spans="2:25" ht="29" x14ac:dyDescent="0.35">
      <c r="B11" s="18" t="s">
        <v>433</v>
      </c>
      <c r="C11" s="17">
        <v>0.47851270824248299</v>
      </c>
      <c r="D11" s="17">
        <v>0.44045426003992799</v>
      </c>
      <c r="E11" s="17">
        <v>0.51363954263622003</v>
      </c>
      <c r="F11" s="17"/>
      <c r="G11" s="17">
        <v>0.357200403257661</v>
      </c>
      <c r="H11" s="17">
        <v>0.366905439648815</v>
      </c>
      <c r="I11" s="17">
        <v>0.43293288589830597</v>
      </c>
      <c r="J11" s="17">
        <v>0.51939715201214298</v>
      </c>
      <c r="K11" s="17">
        <v>0.54745198796821504</v>
      </c>
      <c r="L11" s="17">
        <v>0.54565030046829599</v>
      </c>
      <c r="M11" s="17"/>
      <c r="N11" s="17">
        <v>0.41673899035199302</v>
      </c>
      <c r="O11" s="17">
        <v>0.40494616584364101</v>
      </c>
      <c r="P11" s="17">
        <v>0.44911241446872002</v>
      </c>
      <c r="Q11" s="17">
        <v>0.56089996633643702</v>
      </c>
      <c r="R11" s="17">
        <v>0.55573532783263002</v>
      </c>
      <c r="S11" s="17">
        <v>0.43381756962543699</v>
      </c>
      <c r="T11" s="17">
        <v>0.44857135008994597</v>
      </c>
      <c r="U11" s="17">
        <v>0.437633375425378</v>
      </c>
      <c r="V11" s="17">
        <v>0.51148152774091804</v>
      </c>
      <c r="W11" s="17"/>
      <c r="X11" s="17">
        <v>0.44011369112384402</v>
      </c>
      <c r="Y11" s="17">
        <v>0.49976143894342201</v>
      </c>
    </row>
    <row r="12" spans="2:25" x14ac:dyDescent="0.35">
      <c r="B12" s="18" t="s">
        <v>434</v>
      </c>
      <c r="C12" s="19">
        <v>0.227474960699557</v>
      </c>
      <c r="D12" s="19">
        <v>0.165558041155344</v>
      </c>
      <c r="E12" s="19">
        <v>0.28639789761575302</v>
      </c>
      <c r="F12" s="19"/>
      <c r="G12" s="19">
        <v>0.12007651483891001</v>
      </c>
      <c r="H12" s="19">
        <v>0.137566131059288</v>
      </c>
      <c r="I12" s="19">
        <v>0.17084096706944699</v>
      </c>
      <c r="J12" s="19">
        <v>0.216391988508467</v>
      </c>
      <c r="K12" s="19">
        <v>0.26844845164336401</v>
      </c>
      <c r="L12" s="19">
        <v>0.33759963866881498</v>
      </c>
      <c r="M12" s="19"/>
      <c r="N12" s="19">
        <v>0.27042805814401399</v>
      </c>
      <c r="O12" s="19">
        <v>0.32543085488436801</v>
      </c>
      <c r="P12" s="19">
        <v>0.27486058612266401</v>
      </c>
      <c r="Q12" s="19">
        <v>0.13765735586538799</v>
      </c>
      <c r="R12" s="19">
        <v>0.19831675739058799</v>
      </c>
      <c r="S12" s="19">
        <v>0.24160916354104101</v>
      </c>
      <c r="T12" s="19">
        <v>0.19585033129830001</v>
      </c>
      <c r="U12" s="19">
        <v>0.29688977065004402</v>
      </c>
      <c r="V12" s="19">
        <v>0.20471268088721001</v>
      </c>
      <c r="W12" s="19"/>
      <c r="X12" s="19">
        <v>0.16009138246281501</v>
      </c>
      <c r="Y12" s="19">
        <v>0.26476277729117398</v>
      </c>
    </row>
    <row r="13" spans="2:25" x14ac:dyDescent="0.35">
      <c r="B13" s="16"/>
    </row>
    <row r="14" spans="2:25" x14ac:dyDescent="0.35">
      <c r="B14" t="s">
        <v>51</v>
      </c>
    </row>
    <row r="15" spans="2:25" x14ac:dyDescent="0.35">
      <c r="B15" t="s">
        <v>52</v>
      </c>
    </row>
    <row r="17" spans="2:2" x14ac:dyDescent="0.35">
      <c r="B17" s="8" t="str">
        <f>HYPERLINK("#'Contents'!A1", "Return to Contents")</f>
        <v>Return to Contents</v>
      </c>
    </row>
  </sheetData>
  <mergeCells count="5">
    <mergeCell ref="D5:E5"/>
    <mergeCell ref="G5:L5"/>
    <mergeCell ref="N5:V5"/>
    <mergeCell ref="X5:Y5"/>
    <mergeCell ref="D2:W2"/>
  </mergeCells>
  <pageMargins left="0.7" right="0.7" top="0.75" bottom="0.75" header="0.3" footer="0.3"/>
  <pageSetup paperSize="9" orientation="portrait" horizontalDpi="300" verticalDpi="300"/>
  <drawing r:id="rId1"/>
</worksheet>
</file>

<file path=xl/worksheets/sheet1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800-000000000000}">
  <dimension ref="B2:Y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s>
  <sheetData>
    <row r="2" spans="2:25" ht="40" customHeight="1" x14ac:dyDescent="0.35">
      <c r="D2" s="30" t="s">
        <v>448</v>
      </c>
      <c r="E2" s="26"/>
      <c r="F2" s="26"/>
      <c r="G2" s="26"/>
      <c r="H2" s="26"/>
      <c r="I2" s="26"/>
      <c r="J2" s="26"/>
      <c r="K2" s="26"/>
      <c r="L2" s="26"/>
      <c r="M2" s="26"/>
      <c r="N2" s="26"/>
      <c r="O2" s="26"/>
      <c r="P2" s="26"/>
      <c r="Q2" s="26"/>
      <c r="R2" s="26"/>
      <c r="S2" s="26"/>
      <c r="T2" s="26"/>
      <c r="U2" s="26"/>
      <c r="V2" s="26"/>
      <c r="W2" s="26"/>
    </row>
    <row r="5" spans="2:25" ht="30" customHeight="1" x14ac:dyDescent="0.35">
      <c r="B5" s="15"/>
      <c r="C5" s="15"/>
      <c r="D5" s="29" t="s">
        <v>38</v>
      </c>
      <c r="E5" s="29"/>
      <c r="F5" s="15"/>
      <c r="G5" s="29" t="s">
        <v>39</v>
      </c>
      <c r="H5" s="29"/>
      <c r="I5" s="29"/>
      <c r="J5" s="29"/>
      <c r="K5" s="29"/>
      <c r="L5" s="29"/>
      <c r="M5" s="15"/>
      <c r="N5" s="29" t="s">
        <v>40</v>
      </c>
      <c r="O5" s="29"/>
      <c r="P5" s="29"/>
      <c r="Q5" s="29"/>
      <c r="R5" s="29"/>
      <c r="S5" s="29"/>
      <c r="T5" s="29"/>
      <c r="U5" s="29"/>
      <c r="V5" s="29"/>
      <c r="W5" s="15"/>
      <c r="X5" s="29" t="s">
        <v>41</v>
      </c>
      <c r="Y5" s="29"/>
    </row>
    <row r="6" spans="2:25" ht="29"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row>
    <row r="7" spans="2:25" ht="30" customHeight="1" x14ac:dyDescent="0.35">
      <c r="B7" s="10" t="s">
        <v>19</v>
      </c>
      <c r="C7" s="10">
        <v>6838</v>
      </c>
      <c r="D7" s="10">
        <v>3283</v>
      </c>
      <c r="E7" s="10">
        <v>3541</v>
      </c>
      <c r="F7" s="10"/>
      <c r="G7" s="10">
        <v>635</v>
      </c>
      <c r="H7" s="10">
        <v>1075</v>
      </c>
      <c r="I7" s="10">
        <v>1093</v>
      </c>
      <c r="J7" s="10">
        <v>1228</v>
      </c>
      <c r="K7" s="10">
        <v>1156</v>
      </c>
      <c r="L7" s="10">
        <v>1651</v>
      </c>
      <c r="M7" s="10"/>
      <c r="N7" s="10">
        <v>208</v>
      </c>
      <c r="O7" s="10">
        <v>200</v>
      </c>
      <c r="P7" s="10">
        <v>1002</v>
      </c>
      <c r="Q7" s="10">
        <v>1000</v>
      </c>
      <c r="R7" s="10">
        <v>1004</v>
      </c>
      <c r="S7" s="10">
        <v>1006</v>
      </c>
      <c r="T7" s="10">
        <v>1006</v>
      </c>
      <c r="U7" s="10">
        <v>1007</v>
      </c>
      <c r="V7" s="10">
        <v>405</v>
      </c>
      <c r="W7" s="10"/>
      <c r="X7" s="10">
        <v>2650</v>
      </c>
      <c r="Y7" s="10">
        <v>4188</v>
      </c>
    </row>
    <row r="8" spans="2:25" ht="30" customHeight="1" x14ac:dyDescent="0.35">
      <c r="B8" s="11" t="s">
        <v>20</v>
      </c>
      <c r="C8" s="11">
        <v>6838</v>
      </c>
      <c r="D8" s="11">
        <v>3309</v>
      </c>
      <c r="E8" s="11">
        <v>3515</v>
      </c>
      <c r="F8" s="11"/>
      <c r="G8" s="11">
        <v>645</v>
      </c>
      <c r="H8" s="11">
        <v>1026</v>
      </c>
      <c r="I8" s="11">
        <v>1111</v>
      </c>
      <c r="J8" s="11">
        <v>1184</v>
      </c>
      <c r="K8" s="11">
        <v>1140</v>
      </c>
      <c r="L8" s="11">
        <v>1732</v>
      </c>
      <c r="M8" s="11"/>
      <c r="N8" s="11">
        <v>208</v>
      </c>
      <c r="O8" s="11">
        <v>200</v>
      </c>
      <c r="P8" s="11">
        <v>1002</v>
      </c>
      <c r="Q8" s="11">
        <v>1000</v>
      </c>
      <c r="R8" s="11">
        <v>1004</v>
      </c>
      <c r="S8" s="11">
        <v>1006</v>
      </c>
      <c r="T8" s="11">
        <v>1006</v>
      </c>
      <c r="U8" s="11">
        <v>1007</v>
      </c>
      <c r="V8" s="11">
        <v>405</v>
      </c>
      <c r="W8" s="11"/>
      <c r="X8" s="11">
        <v>2436</v>
      </c>
      <c r="Y8" s="11">
        <v>4402</v>
      </c>
    </row>
    <row r="9" spans="2:25" ht="29" x14ac:dyDescent="0.35">
      <c r="B9" s="18" t="s">
        <v>431</v>
      </c>
      <c r="C9" s="17">
        <v>3.4271646354963402E-2</v>
      </c>
      <c r="D9" s="17">
        <v>4.8972933362372899E-2</v>
      </c>
      <c r="E9" s="17">
        <v>2.0568980963955898E-2</v>
      </c>
      <c r="F9" s="17"/>
      <c r="G9" s="17">
        <v>8.3422334558873795E-2</v>
      </c>
      <c r="H9" s="17">
        <v>5.9080123685480899E-2</v>
      </c>
      <c r="I9" s="17">
        <v>5.52325964087284E-2</v>
      </c>
      <c r="J9" s="17">
        <v>1.9068548604135701E-2</v>
      </c>
      <c r="K9" s="17">
        <v>1.2390402963718501E-2</v>
      </c>
      <c r="L9" s="17">
        <v>1.26403542410265E-2</v>
      </c>
      <c r="M9" s="17"/>
      <c r="N9" s="17">
        <v>2.2178794853651301E-2</v>
      </c>
      <c r="O9" s="17">
        <v>6.7322230832391897E-3</v>
      </c>
      <c r="P9" s="17">
        <v>3.7378805355246E-2</v>
      </c>
      <c r="Q9" s="17">
        <v>3.1285839783858002E-2</v>
      </c>
      <c r="R9" s="17">
        <v>2.6873026049581399E-2</v>
      </c>
      <c r="S9" s="17">
        <v>3.1258925091759399E-2</v>
      </c>
      <c r="T9" s="17">
        <v>3.4885858765552502E-2</v>
      </c>
      <c r="U9" s="17">
        <v>4.2126436004485901E-2</v>
      </c>
      <c r="V9" s="17">
        <v>5.8535776070282999E-2</v>
      </c>
      <c r="W9" s="17"/>
      <c r="X9" s="17">
        <v>5.20387355795255E-2</v>
      </c>
      <c r="Y9" s="17">
        <v>2.44399339154013E-2</v>
      </c>
    </row>
    <row r="10" spans="2:25" ht="29" x14ac:dyDescent="0.35">
      <c r="B10" s="18" t="s">
        <v>432</v>
      </c>
      <c r="C10" s="17">
        <v>0.120257261780325</v>
      </c>
      <c r="D10" s="17">
        <v>0.13979528082939699</v>
      </c>
      <c r="E10" s="17">
        <v>0.101155171324501</v>
      </c>
      <c r="F10" s="17"/>
      <c r="G10" s="17">
        <v>0.19501989042049001</v>
      </c>
      <c r="H10" s="17">
        <v>0.18971804731667299</v>
      </c>
      <c r="I10" s="17">
        <v>0.14972559424654799</v>
      </c>
      <c r="J10" s="17">
        <v>0.103664980029742</v>
      </c>
      <c r="K10" s="17">
        <v>8.3063820962886795E-2</v>
      </c>
      <c r="L10" s="17">
        <v>6.8232072616951606E-2</v>
      </c>
      <c r="M10" s="17"/>
      <c r="N10" s="17">
        <v>0.13182762421206901</v>
      </c>
      <c r="O10" s="17">
        <v>5.7669507253656598E-2</v>
      </c>
      <c r="P10" s="17">
        <v>0.137118677831883</v>
      </c>
      <c r="Q10" s="17">
        <v>0.116949998436827</v>
      </c>
      <c r="R10" s="17">
        <v>8.7916840185445794E-2</v>
      </c>
      <c r="S10" s="17">
        <v>0.13833284328835099</v>
      </c>
      <c r="T10" s="17">
        <v>0.127841385764833</v>
      </c>
      <c r="U10" s="17">
        <v>0.12983981413453199</v>
      </c>
      <c r="V10" s="17">
        <v>0.10428079095180499</v>
      </c>
      <c r="W10" s="17"/>
      <c r="X10" s="17">
        <v>0.151566628649837</v>
      </c>
      <c r="Y10" s="17">
        <v>0.10293170620759499</v>
      </c>
    </row>
    <row r="11" spans="2:25" ht="29" x14ac:dyDescent="0.35">
      <c r="B11" s="18" t="s">
        <v>433</v>
      </c>
      <c r="C11" s="17">
        <v>0.51806074731621199</v>
      </c>
      <c r="D11" s="17">
        <v>0.51054120071337605</v>
      </c>
      <c r="E11" s="17">
        <v>0.52523604667255896</v>
      </c>
      <c r="F11" s="17"/>
      <c r="G11" s="17">
        <v>0.496128814999379</v>
      </c>
      <c r="H11" s="17">
        <v>0.50896376763547801</v>
      </c>
      <c r="I11" s="17">
        <v>0.51806736569184197</v>
      </c>
      <c r="J11" s="17">
        <v>0.50944457833050205</v>
      </c>
      <c r="K11" s="17">
        <v>0.54470423505663701</v>
      </c>
      <c r="L11" s="17">
        <v>0.519954263713023</v>
      </c>
      <c r="M11" s="17"/>
      <c r="N11" s="17">
        <v>0.45454114355363801</v>
      </c>
      <c r="O11" s="17">
        <v>0.61142331367382396</v>
      </c>
      <c r="P11" s="17">
        <v>0.49815693892086899</v>
      </c>
      <c r="Q11" s="17">
        <v>0.52504539237561099</v>
      </c>
      <c r="R11" s="17">
        <v>0.57202324862994702</v>
      </c>
      <c r="S11" s="17">
        <v>0.56712664869704699</v>
      </c>
      <c r="T11" s="17">
        <v>0.53415021653892703</v>
      </c>
      <c r="U11" s="17">
        <v>0.39936806990141499</v>
      </c>
      <c r="V11" s="17">
        <v>0.53607903688255598</v>
      </c>
      <c r="W11" s="17"/>
      <c r="X11" s="17">
        <v>0.51624258195625805</v>
      </c>
      <c r="Y11" s="17">
        <v>0.51906685916496398</v>
      </c>
    </row>
    <row r="12" spans="2:25" x14ac:dyDescent="0.35">
      <c r="B12" s="18" t="s">
        <v>434</v>
      </c>
      <c r="C12" s="19">
        <v>0.32741034454849899</v>
      </c>
      <c r="D12" s="19">
        <v>0.30069058509485302</v>
      </c>
      <c r="E12" s="19">
        <v>0.35303980103898502</v>
      </c>
      <c r="F12" s="19"/>
      <c r="G12" s="19">
        <v>0.22542896002125701</v>
      </c>
      <c r="H12" s="19">
        <v>0.242238061362368</v>
      </c>
      <c r="I12" s="19">
        <v>0.27697444365288099</v>
      </c>
      <c r="J12" s="19">
        <v>0.36782189303562002</v>
      </c>
      <c r="K12" s="19">
        <v>0.35984154101675703</v>
      </c>
      <c r="L12" s="19">
        <v>0.39917330942899898</v>
      </c>
      <c r="M12" s="19"/>
      <c r="N12" s="19">
        <v>0.391452437380642</v>
      </c>
      <c r="O12" s="19">
        <v>0.32417495598927998</v>
      </c>
      <c r="P12" s="19">
        <v>0.32734557789200303</v>
      </c>
      <c r="Q12" s="19">
        <v>0.32671876940370398</v>
      </c>
      <c r="R12" s="19">
        <v>0.31318688513502602</v>
      </c>
      <c r="S12" s="19">
        <v>0.26328158292284198</v>
      </c>
      <c r="T12" s="19">
        <v>0.30312253893068702</v>
      </c>
      <c r="U12" s="19">
        <v>0.428665679959567</v>
      </c>
      <c r="V12" s="19">
        <v>0.301104396095356</v>
      </c>
      <c r="W12" s="19"/>
      <c r="X12" s="19">
        <v>0.28015205381438002</v>
      </c>
      <c r="Y12" s="19">
        <v>0.35356150071204001</v>
      </c>
    </row>
    <row r="13" spans="2:25" x14ac:dyDescent="0.35">
      <c r="B13" s="16"/>
    </row>
    <row r="14" spans="2:25" x14ac:dyDescent="0.35">
      <c r="B14" t="s">
        <v>51</v>
      </c>
    </row>
    <row r="15" spans="2:25" x14ac:dyDescent="0.35">
      <c r="B15" t="s">
        <v>52</v>
      </c>
    </row>
    <row r="17" spans="2:2" x14ac:dyDescent="0.35">
      <c r="B17" s="8" t="str">
        <f>HYPERLINK("#'Contents'!A1", "Return to Contents")</f>
        <v>Return to Contents</v>
      </c>
    </row>
  </sheetData>
  <mergeCells count="5">
    <mergeCell ref="D5:E5"/>
    <mergeCell ref="G5:L5"/>
    <mergeCell ref="N5:V5"/>
    <mergeCell ref="X5:Y5"/>
    <mergeCell ref="D2:W2"/>
  </mergeCells>
  <pageMargins left="0.7" right="0.7" top="0.75" bottom="0.75" header="0.3" footer="0.3"/>
  <pageSetup paperSize="9" orientation="portrait" horizontalDpi="300" verticalDpi="300"/>
  <drawing r:id="rId1"/>
</worksheet>
</file>

<file path=xl/worksheets/sheet1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900-000000000000}">
  <dimension ref="B2:P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6" width="20.7265625" customWidth="1"/>
  </cols>
  <sheetData>
    <row r="2" spans="2:16" ht="40" customHeight="1" x14ac:dyDescent="0.35">
      <c r="D2" s="30" t="s">
        <v>452</v>
      </c>
      <c r="E2" s="26"/>
      <c r="F2" s="26"/>
      <c r="G2" s="26"/>
      <c r="H2" s="26"/>
      <c r="I2" s="26"/>
      <c r="J2" s="26"/>
      <c r="K2" s="26"/>
      <c r="L2" s="26"/>
      <c r="M2" s="26"/>
      <c r="N2" s="26"/>
      <c r="O2" s="26"/>
      <c r="P2" s="26"/>
    </row>
    <row r="6" spans="2:16" ht="50" customHeight="1" x14ac:dyDescent="0.35">
      <c r="B6" s="20" t="s">
        <v>15</v>
      </c>
      <c r="C6" s="20" t="s">
        <v>418</v>
      </c>
      <c r="D6" s="20" t="s">
        <v>419</v>
      </c>
      <c r="E6" s="20" t="s">
        <v>420</v>
      </c>
      <c r="F6" s="20" t="s">
        <v>421</v>
      </c>
      <c r="G6" s="20" t="s">
        <v>422</v>
      </c>
      <c r="H6" s="20" t="s">
        <v>425</v>
      </c>
      <c r="I6" s="20" t="s">
        <v>426</v>
      </c>
      <c r="J6" s="20" t="s">
        <v>427</v>
      </c>
      <c r="K6" s="20" t="s">
        <v>428</v>
      </c>
      <c r="L6" s="20" t="s">
        <v>429</v>
      </c>
      <c r="M6" s="20" t="s">
        <v>423</v>
      </c>
      <c r="N6" s="20" t="s">
        <v>424</v>
      </c>
      <c r="O6" s="20" t="s">
        <v>430</v>
      </c>
    </row>
    <row r="7" spans="2:16" ht="29" x14ac:dyDescent="0.35">
      <c r="B7" s="18" t="s">
        <v>449</v>
      </c>
      <c r="C7" s="17">
        <v>0.25085633495569798</v>
      </c>
      <c r="D7" s="17">
        <v>7.7533347568657096E-2</v>
      </c>
      <c r="E7" s="17">
        <v>9.3267335590240794E-2</v>
      </c>
      <c r="F7" s="17">
        <v>6.2762528955727495E-2</v>
      </c>
      <c r="G7" s="17">
        <v>0.11667979035399</v>
      </c>
      <c r="H7" s="17">
        <v>0.112031527054776</v>
      </c>
      <c r="I7" s="17">
        <v>9.3918297891739499E-2</v>
      </c>
      <c r="J7" s="17">
        <v>9.5991093768635904E-2</v>
      </c>
      <c r="K7" s="17">
        <v>0.14675347425537699</v>
      </c>
      <c r="L7" s="17">
        <v>8.4596626266433106E-2</v>
      </c>
      <c r="M7" s="17">
        <v>0.184628741187016</v>
      </c>
      <c r="N7" s="17">
        <v>0.119423517994335</v>
      </c>
      <c r="O7" s="17">
        <v>0.109809959786398</v>
      </c>
    </row>
    <row r="8" spans="2:16" ht="29" x14ac:dyDescent="0.35">
      <c r="B8" s="18" t="s">
        <v>450</v>
      </c>
      <c r="C8" s="17">
        <v>0.388173566553289</v>
      </c>
      <c r="D8" s="17">
        <v>0.22682647701702799</v>
      </c>
      <c r="E8" s="17">
        <v>0.24112984641250099</v>
      </c>
      <c r="F8" s="17">
        <v>0.1710511632825</v>
      </c>
      <c r="G8" s="17">
        <v>0.30368146356178199</v>
      </c>
      <c r="H8" s="17">
        <v>0.29109376828953498</v>
      </c>
      <c r="I8" s="17">
        <v>0.286540964773837</v>
      </c>
      <c r="J8" s="17">
        <v>0.290644363382833</v>
      </c>
      <c r="K8" s="17">
        <v>0.30801308239476</v>
      </c>
      <c r="L8" s="17">
        <v>0.19990768772282499</v>
      </c>
      <c r="M8" s="17">
        <v>0.38987934355652598</v>
      </c>
      <c r="N8" s="17">
        <v>0.32480517522185398</v>
      </c>
      <c r="O8" s="17">
        <v>0.256558063550063</v>
      </c>
    </row>
    <row r="9" spans="2:16" ht="29" x14ac:dyDescent="0.35">
      <c r="B9" s="18" t="s">
        <v>451</v>
      </c>
      <c r="C9" s="17">
        <v>0.31953259715576898</v>
      </c>
      <c r="D9" s="17">
        <v>0.56995746706524097</v>
      </c>
      <c r="E9" s="17">
        <v>0.56281554155089497</v>
      </c>
      <c r="F9" s="17">
        <v>0.35718779650048799</v>
      </c>
      <c r="G9" s="17">
        <v>0.39517841495787898</v>
      </c>
      <c r="H9" s="17">
        <v>0.384285229235585</v>
      </c>
      <c r="I9" s="17">
        <v>0.43797340538069501</v>
      </c>
      <c r="J9" s="17">
        <v>0.48932075731823499</v>
      </c>
      <c r="K9" s="17">
        <v>0.37927581599641103</v>
      </c>
      <c r="L9" s="17">
        <v>0.48475194600986199</v>
      </c>
      <c r="M9" s="17">
        <v>0.35386669998438403</v>
      </c>
      <c r="N9" s="17">
        <v>0.44245148540773199</v>
      </c>
      <c r="O9" s="17">
        <v>0.327937947807449</v>
      </c>
    </row>
    <row r="10" spans="2:16" x14ac:dyDescent="0.35">
      <c r="B10" s="18" t="s">
        <v>434</v>
      </c>
      <c r="C10" s="17">
        <v>4.1437501335243897E-2</v>
      </c>
      <c r="D10" s="17">
        <v>0.125682708349074</v>
      </c>
      <c r="E10" s="17">
        <v>0.102787276446363</v>
      </c>
      <c r="F10" s="17">
        <v>0.408998511261284</v>
      </c>
      <c r="G10" s="17">
        <v>0.18446033112634799</v>
      </c>
      <c r="H10" s="17">
        <v>0.21258947542010401</v>
      </c>
      <c r="I10" s="17">
        <v>0.18156733195372901</v>
      </c>
      <c r="J10" s="17">
        <v>0.12404378553029501</v>
      </c>
      <c r="K10" s="17">
        <v>0.16595762735345199</v>
      </c>
      <c r="L10" s="17">
        <v>0.23074374000087999</v>
      </c>
      <c r="M10" s="17">
        <v>7.1625215272073994E-2</v>
      </c>
      <c r="N10" s="17">
        <v>0.11331982137608</v>
      </c>
      <c r="O10" s="17">
        <v>0.30569402885609098</v>
      </c>
    </row>
    <row r="11" spans="2:16" x14ac:dyDescent="0.35">
      <c r="B11" s="16"/>
      <c r="C11" s="16"/>
      <c r="D11" s="16"/>
      <c r="E11" s="16"/>
      <c r="F11" s="16"/>
      <c r="G11" s="16"/>
      <c r="H11" s="16"/>
      <c r="I11" s="16"/>
      <c r="J11" s="16"/>
      <c r="K11" s="16"/>
      <c r="L11" s="16"/>
      <c r="M11" s="16"/>
      <c r="N11" s="16"/>
      <c r="O11" s="16"/>
    </row>
    <row r="12" spans="2:16" x14ac:dyDescent="0.35">
      <c r="B12" t="s">
        <v>51</v>
      </c>
    </row>
    <row r="13" spans="2:16" x14ac:dyDescent="0.35">
      <c r="B13" t="s">
        <v>52</v>
      </c>
    </row>
    <row r="17" spans="2:2" x14ac:dyDescent="0.35">
      <c r="B17" s="8" t="str">
        <f>HYPERLINK("#'Contents'!A1", "Return to Contents")</f>
        <v>Return to Contents</v>
      </c>
    </row>
  </sheetData>
  <mergeCells count="1">
    <mergeCell ref="D2:P2"/>
  </mergeCells>
  <pageMargins left="0.7" right="0.7" top="0.75" bottom="0.75" header="0.3" footer="0.3"/>
  <pageSetup paperSize="9" orientation="portrait" horizontalDpi="300" verticalDpi="300"/>
  <drawing r:id="rId1"/>
</worksheet>
</file>

<file path=xl/worksheets/sheet1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A00-000000000000}">
  <dimension ref="B2:Y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s>
  <sheetData>
    <row r="2" spans="2:25" ht="40" customHeight="1" x14ac:dyDescent="0.35">
      <c r="D2" s="30" t="s">
        <v>453</v>
      </c>
      <c r="E2" s="26"/>
      <c r="F2" s="26"/>
      <c r="G2" s="26"/>
      <c r="H2" s="26"/>
      <c r="I2" s="26"/>
      <c r="J2" s="26"/>
      <c r="K2" s="26"/>
      <c r="L2" s="26"/>
      <c r="M2" s="26"/>
      <c r="N2" s="26"/>
      <c r="O2" s="26"/>
      <c r="P2" s="26"/>
      <c r="Q2" s="26"/>
      <c r="R2" s="26"/>
      <c r="S2" s="26"/>
      <c r="T2" s="26"/>
      <c r="U2" s="26"/>
      <c r="V2" s="26"/>
      <c r="W2" s="26"/>
    </row>
    <row r="5" spans="2:25" ht="30" customHeight="1" x14ac:dyDescent="0.35">
      <c r="B5" s="15"/>
      <c r="C5" s="15"/>
      <c r="D5" s="29" t="s">
        <v>38</v>
      </c>
      <c r="E5" s="29"/>
      <c r="F5" s="15"/>
      <c r="G5" s="29" t="s">
        <v>39</v>
      </c>
      <c r="H5" s="29"/>
      <c r="I5" s="29"/>
      <c r="J5" s="29"/>
      <c r="K5" s="29"/>
      <c r="L5" s="29"/>
      <c r="M5" s="15"/>
      <c r="N5" s="29" t="s">
        <v>40</v>
      </c>
      <c r="O5" s="29"/>
      <c r="P5" s="29"/>
      <c r="Q5" s="29"/>
      <c r="R5" s="29"/>
      <c r="S5" s="29"/>
      <c r="T5" s="29"/>
      <c r="U5" s="29"/>
      <c r="V5" s="29"/>
      <c r="W5" s="15"/>
      <c r="X5" s="29" t="s">
        <v>41</v>
      </c>
      <c r="Y5" s="29"/>
    </row>
    <row r="6" spans="2:25" ht="29"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row>
    <row r="7" spans="2:25" ht="30" customHeight="1" x14ac:dyDescent="0.35">
      <c r="B7" s="10" t="s">
        <v>19</v>
      </c>
      <c r="C7" s="10">
        <v>6838</v>
      </c>
      <c r="D7" s="10">
        <v>3283</v>
      </c>
      <c r="E7" s="10">
        <v>3541</v>
      </c>
      <c r="F7" s="10"/>
      <c r="G7" s="10">
        <v>635</v>
      </c>
      <c r="H7" s="10">
        <v>1075</v>
      </c>
      <c r="I7" s="10">
        <v>1093</v>
      </c>
      <c r="J7" s="10">
        <v>1228</v>
      </c>
      <c r="K7" s="10">
        <v>1156</v>
      </c>
      <c r="L7" s="10">
        <v>1651</v>
      </c>
      <c r="M7" s="10"/>
      <c r="N7" s="10">
        <v>208</v>
      </c>
      <c r="O7" s="10">
        <v>200</v>
      </c>
      <c r="P7" s="10">
        <v>1002</v>
      </c>
      <c r="Q7" s="10">
        <v>1000</v>
      </c>
      <c r="R7" s="10">
        <v>1004</v>
      </c>
      <c r="S7" s="10">
        <v>1006</v>
      </c>
      <c r="T7" s="10">
        <v>1006</v>
      </c>
      <c r="U7" s="10">
        <v>1007</v>
      </c>
      <c r="V7" s="10">
        <v>405</v>
      </c>
      <c r="W7" s="10"/>
      <c r="X7" s="10">
        <v>2650</v>
      </c>
      <c r="Y7" s="10">
        <v>4188</v>
      </c>
    </row>
    <row r="8" spans="2:25" ht="30" customHeight="1" x14ac:dyDescent="0.35">
      <c r="B8" s="11" t="s">
        <v>20</v>
      </c>
      <c r="C8" s="11">
        <v>6838</v>
      </c>
      <c r="D8" s="11">
        <v>3309</v>
      </c>
      <c r="E8" s="11">
        <v>3515</v>
      </c>
      <c r="F8" s="11"/>
      <c r="G8" s="11">
        <v>645</v>
      </c>
      <c r="H8" s="11">
        <v>1026</v>
      </c>
      <c r="I8" s="11">
        <v>1111</v>
      </c>
      <c r="J8" s="11">
        <v>1184</v>
      </c>
      <c r="K8" s="11">
        <v>1140</v>
      </c>
      <c r="L8" s="11">
        <v>1732</v>
      </c>
      <c r="M8" s="11"/>
      <c r="N8" s="11">
        <v>208</v>
      </c>
      <c r="O8" s="11">
        <v>200</v>
      </c>
      <c r="P8" s="11">
        <v>1002</v>
      </c>
      <c r="Q8" s="11">
        <v>1000</v>
      </c>
      <c r="R8" s="11">
        <v>1004</v>
      </c>
      <c r="S8" s="11">
        <v>1006</v>
      </c>
      <c r="T8" s="11">
        <v>1006</v>
      </c>
      <c r="U8" s="11">
        <v>1007</v>
      </c>
      <c r="V8" s="11">
        <v>405</v>
      </c>
      <c r="W8" s="11"/>
      <c r="X8" s="11">
        <v>2436</v>
      </c>
      <c r="Y8" s="11">
        <v>4402</v>
      </c>
    </row>
    <row r="9" spans="2:25" ht="29" x14ac:dyDescent="0.35">
      <c r="B9" s="18" t="s">
        <v>449</v>
      </c>
      <c r="C9" s="17">
        <v>0.25085633495569798</v>
      </c>
      <c r="D9" s="17">
        <v>0.30497965073989097</v>
      </c>
      <c r="E9" s="17">
        <v>0.19924715736891099</v>
      </c>
      <c r="F9" s="17"/>
      <c r="G9" s="17">
        <v>0.44549171691536599</v>
      </c>
      <c r="H9" s="17">
        <v>0.33360566169511402</v>
      </c>
      <c r="I9" s="17">
        <v>0.29673995784900198</v>
      </c>
      <c r="J9" s="17">
        <v>0.235924629159181</v>
      </c>
      <c r="K9" s="17">
        <v>0.18575957428248399</v>
      </c>
      <c r="L9" s="17">
        <v>0.15305639673732599</v>
      </c>
      <c r="M9" s="17"/>
      <c r="N9" s="17">
        <v>0.35950688237656098</v>
      </c>
      <c r="O9" s="17">
        <v>0.30329156308882099</v>
      </c>
      <c r="P9" s="17">
        <v>0.20312645309194</v>
      </c>
      <c r="Q9" s="17">
        <v>0.24077424008388101</v>
      </c>
      <c r="R9" s="17">
        <v>0.204800135996657</v>
      </c>
      <c r="S9" s="17">
        <v>0.189711645018807</v>
      </c>
      <c r="T9" s="17">
        <v>0.283817059942996</v>
      </c>
      <c r="U9" s="17">
        <v>0.33071156595283202</v>
      </c>
      <c r="V9" s="17">
        <v>0.29777078406482199</v>
      </c>
      <c r="W9" s="17"/>
      <c r="X9" s="17">
        <v>0.31413870710470698</v>
      </c>
      <c r="Y9" s="17">
        <v>0.215837988528852</v>
      </c>
    </row>
    <row r="10" spans="2:25" ht="29" x14ac:dyDescent="0.35">
      <c r="B10" s="18" t="s">
        <v>450</v>
      </c>
      <c r="C10" s="17">
        <v>0.388173566553289</v>
      </c>
      <c r="D10" s="17">
        <v>0.40123094770572099</v>
      </c>
      <c r="E10" s="17">
        <v>0.37563812643815803</v>
      </c>
      <c r="F10" s="17"/>
      <c r="G10" s="17">
        <v>0.37379609571823902</v>
      </c>
      <c r="H10" s="17">
        <v>0.41347620231175602</v>
      </c>
      <c r="I10" s="17">
        <v>0.42852215912119601</v>
      </c>
      <c r="J10" s="17">
        <v>0.41067693759990898</v>
      </c>
      <c r="K10" s="17">
        <v>0.36902166963515798</v>
      </c>
      <c r="L10" s="17">
        <v>0.34989209587488201</v>
      </c>
      <c r="M10" s="17"/>
      <c r="N10" s="17">
        <v>0.34459376818041099</v>
      </c>
      <c r="O10" s="17">
        <v>0.50419596887709595</v>
      </c>
      <c r="P10" s="17">
        <v>0.34077846114431798</v>
      </c>
      <c r="Q10" s="17">
        <v>0.37367016664943797</v>
      </c>
      <c r="R10" s="17">
        <v>0.39788568403153002</v>
      </c>
      <c r="S10" s="17">
        <v>0.351863398279182</v>
      </c>
      <c r="T10" s="17">
        <v>0.44107963753381202</v>
      </c>
      <c r="U10" s="17">
        <v>0.39513714443671999</v>
      </c>
      <c r="V10" s="17">
        <v>0.423715902654554</v>
      </c>
      <c r="W10" s="17"/>
      <c r="X10" s="17">
        <v>0.42568863554904401</v>
      </c>
      <c r="Y10" s="17">
        <v>0.367413983154186</v>
      </c>
    </row>
    <row r="11" spans="2:25" ht="29" x14ac:dyDescent="0.35">
      <c r="B11" s="18" t="s">
        <v>451</v>
      </c>
      <c r="C11" s="17">
        <v>0.31953259715576898</v>
      </c>
      <c r="D11" s="17">
        <v>0.26817709127008199</v>
      </c>
      <c r="E11" s="17">
        <v>0.36861356213234198</v>
      </c>
      <c r="F11" s="17"/>
      <c r="G11" s="17">
        <v>0.15071922770507501</v>
      </c>
      <c r="H11" s="17">
        <v>0.22407393489837099</v>
      </c>
      <c r="I11" s="17">
        <v>0.243753276833651</v>
      </c>
      <c r="J11" s="17">
        <v>0.30972165605802399</v>
      </c>
      <c r="K11" s="17">
        <v>0.40702719356389</v>
      </c>
      <c r="L11" s="17">
        <v>0.43658854147076898</v>
      </c>
      <c r="M11" s="17"/>
      <c r="N11" s="17">
        <v>0.26534309191154598</v>
      </c>
      <c r="O11" s="17">
        <v>0.18835631220464399</v>
      </c>
      <c r="P11" s="17">
        <v>0.39757604692813198</v>
      </c>
      <c r="Q11" s="17">
        <v>0.347180365147294</v>
      </c>
      <c r="R11" s="17">
        <v>0.37435625358941699</v>
      </c>
      <c r="S11" s="17">
        <v>0.427792768221265</v>
      </c>
      <c r="T11" s="17">
        <v>0.230298395211849</v>
      </c>
      <c r="U11" s="17">
        <v>0.20504884299137099</v>
      </c>
      <c r="V11" s="17">
        <v>0.25227687830502998</v>
      </c>
      <c r="W11" s="17"/>
      <c r="X11" s="17">
        <v>0.23972568742535699</v>
      </c>
      <c r="Y11" s="17">
        <v>0.36369506953615</v>
      </c>
    </row>
    <row r="12" spans="2:25" x14ac:dyDescent="0.35">
      <c r="B12" s="18" t="s">
        <v>434</v>
      </c>
      <c r="C12" s="19">
        <v>4.1437501335243897E-2</v>
      </c>
      <c r="D12" s="19">
        <v>2.56123102843058E-2</v>
      </c>
      <c r="E12" s="19">
        <v>5.6501154060588997E-2</v>
      </c>
      <c r="F12" s="19"/>
      <c r="G12" s="19">
        <v>2.9992959661319599E-2</v>
      </c>
      <c r="H12" s="19">
        <v>2.88442010947591E-2</v>
      </c>
      <c r="I12" s="19">
        <v>3.09846061961505E-2</v>
      </c>
      <c r="J12" s="19">
        <v>4.3676777182886303E-2</v>
      </c>
      <c r="K12" s="19">
        <v>3.8191562518469099E-2</v>
      </c>
      <c r="L12" s="19">
        <v>6.0462965917022202E-2</v>
      </c>
      <c r="M12" s="19"/>
      <c r="N12" s="19">
        <v>3.05562575314819E-2</v>
      </c>
      <c r="O12" s="19">
        <v>4.1561558294397703E-3</v>
      </c>
      <c r="P12" s="19">
        <v>5.851903883561E-2</v>
      </c>
      <c r="Q12" s="19">
        <v>3.83752281193862E-2</v>
      </c>
      <c r="R12" s="19">
        <v>2.2957926382396701E-2</v>
      </c>
      <c r="S12" s="19">
        <v>3.0632188480746E-2</v>
      </c>
      <c r="T12" s="19">
        <v>4.48049073113434E-2</v>
      </c>
      <c r="U12" s="19">
        <v>6.9102446619076996E-2</v>
      </c>
      <c r="V12" s="19">
        <v>2.6236434975593598E-2</v>
      </c>
      <c r="W12" s="19"/>
      <c r="X12" s="19">
        <v>2.0446969920892299E-2</v>
      </c>
      <c r="Y12" s="19">
        <v>5.3052958780811198E-2</v>
      </c>
    </row>
    <row r="13" spans="2:25" x14ac:dyDescent="0.35">
      <c r="B13" s="16"/>
    </row>
    <row r="14" spans="2:25" x14ac:dyDescent="0.35">
      <c r="B14" t="s">
        <v>51</v>
      </c>
    </row>
    <row r="15" spans="2:25" x14ac:dyDescent="0.35">
      <c r="B15" t="s">
        <v>52</v>
      </c>
    </row>
    <row r="17" spans="2:2" x14ac:dyDescent="0.35">
      <c r="B17" s="8" t="str">
        <f>HYPERLINK("#'Contents'!A1", "Return to Contents")</f>
        <v>Return to Contents</v>
      </c>
    </row>
  </sheetData>
  <mergeCells count="5">
    <mergeCell ref="D5:E5"/>
    <mergeCell ref="G5:L5"/>
    <mergeCell ref="N5:V5"/>
    <mergeCell ref="X5:Y5"/>
    <mergeCell ref="D2:W2"/>
  </mergeCells>
  <pageMargins left="0.7" right="0.7" top="0.75" bottom="0.75" header="0.3" footer="0.3"/>
  <pageSetup paperSize="9" orientation="portrait" horizontalDpi="300" verticalDpi="300"/>
  <drawing r:id="rId1"/>
</worksheet>
</file>

<file path=xl/worksheets/sheet1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B00-000000000000}">
  <dimension ref="B2:Y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s>
  <sheetData>
    <row r="2" spans="2:25" ht="40" customHeight="1" x14ac:dyDescent="0.35">
      <c r="D2" s="30" t="s">
        <v>454</v>
      </c>
      <c r="E2" s="26"/>
      <c r="F2" s="26"/>
      <c r="G2" s="26"/>
      <c r="H2" s="26"/>
      <c r="I2" s="26"/>
      <c r="J2" s="26"/>
      <c r="K2" s="26"/>
      <c r="L2" s="26"/>
      <c r="M2" s="26"/>
      <c r="N2" s="26"/>
      <c r="O2" s="26"/>
      <c r="P2" s="26"/>
      <c r="Q2" s="26"/>
      <c r="R2" s="26"/>
      <c r="S2" s="26"/>
      <c r="T2" s="26"/>
      <c r="U2" s="26"/>
      <c r="V2" s="26"/>
      <c r="W2" s="26"/>
    </row>
    <row r="5" spans="2:25" ht="30" customHeight="1" x14ac:dyDescent="0.35">
      <c r="B5" s="15"/>
      <c r="C5" s="15"/>
      <c r="D5" s="29" t="s">
        <v>38</v>
      </c>
      <c r="E5" s="29"/>
      <c r="F5" s="15"/>
      <c r="G5" s="29" t="s">
        <v>39</v>
      </c>
      <c r="H5" s="29"/>
      <c r="I5" s="29"/>
      <c r="J5" s="29"/>
      <c r="K5" s="29"/>
      <c r="L5" s="29"/>
      <c r="M5" s="15"/>
      <c r="N5" s="29" t="s">
        <v>40</v>
      </c>
      <c r="O5" s="29"/>
      <c r="P5" s="29"/>
      <c r="Q5" s="29"/>
      <c r="R5" s="29"/>
      <c r="S5" s="29"/>
      <c r="T5" s="29"/>
      <c r="U5" s="29"/>
      <c r="V5" s="29"/>
      <c r="W5" s="15"/>
      <c r="X5" s="29" t="s">
        <v>41</v>
      </c>
      <c r="Y5" s="29"/>
    </row>
    <row r="6" spans="2:25" ht="29"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row>
    <row r="7" spans="2:25" ht="30" customHeight="1" x14ac:dyDescent="0.35">
      <c r="B7" s="10" t="s">
        <v>19</v>
      </c>
      <c r="C7" s="10">
        <v>6838</v>
      </c>
      <c r="D7" s="10">
        <v>3283</v>
      </c>
      <c r="E7" s="10">
        <v>3541</v>
      </c>
      <c r="F7" s="10"/>
      <c r="G7" s="10">
        <v>635</v>
      </c>
      <c r="H7" s="10">
        <v>1075</v>
      </c>
      <c r="I7" s="10">
        <v>1093</v>
      </c>
      <c r="J7" s="10">
        <v>1228</v>
      </c>
      <c r="K7" s="10">
        <v>1156</v>
      </c>
      <c r="L7" s="10">
        <v>1651</v>
      </c>
      <c r="M7" s="10"/>
      <c r="N7" s="10">
        <v>208</v>
      </c>
      <c r="O7" s="10">
        <v>200</v>
      </c>
      <c r="P7" s="10">
        <v>1002</v>
      </c>
      <c r="Q7" s="10">
        <v>1000</v>
      </c>
      <c r="R7" s="10">
        <v>1004</v>
      </c>
      <c r="S7" s="10">
        <v>1006</v>
      </c>
      <c r="T7" s="10">
        <v>1006</v>
      </c>
      <c r="U7" s="10">
        <v>1007</v>
      </c>
      <c r="V7" s="10">
        <v>405</v>
      </c>
      <c r="W7" s="10"/>
      <c r="X7" s="10">
        <v>2650</v>
      </c>
      <c r="Y7" s="10">
        <v>4188</v>
      </c>
    </row>
    <row r="8" spans="2:25" ht="30" customHeight="1" x14ac:dyDescent="0.35">
      <c r="B8" s="11" t="s">
        <v>20</v>
      </c>
      <c r="C8" s="11">
        <v>6838</v>
      </c>
      <c r="D8" s="11">
        <v>3309</v>
      </c>
      <c r="E8" s="11">
        <v>3515</v>
      </c>
      <c r="F8" s="11"/>
      <c r="G8" s="11">
        <v>645</v>
      </c>
      <c r="H8" s="11">
        <v>1026</v>
      </c>
      <c r="I8" s="11">
        <v>1111</v>
      </c>
      <c r="J8" s="11">
        <v>1184</v>
      </c>
      <c r="K8" s="11">
        <v>1140</v>
      </c>
      <c r="L8" s="11">
        <v>1732</v>
      </c>
      <c r="M8" s="11"/>
      <c r="N8" s="11">
        <v>208</v>
      </c>
      <c r="O8" s="11">
        <v>200</v>
      </c>
      <c r="P8" s="11">
        <v>1002</v>
      </c>
      <c r="Q8" s="11">
        <v>1000</v>
      </c>
      <c r="R8" s="11">
        <v>1004</v>
      </c>
      <c r="S8" s="11">
        <v>1006</v>
      </c>
      <c r="T8" s="11">
        <v>1006</v>
      </c>
      <c r="U8" s="11">
        <v>1007</v>
      </c>
      <c r="V8" s="11">
        <v>405</v>
      </c>
      <c r="W8" s="11"/>
      <c r="X8" s="11">
        <v>2436</v>
      </c>
      <c r="Y8" s="11">
        <v>4402</v>
      </c>
    </row>
    <row r="9" spans="2:25" ht="29" x14ac:dyDescent="0.35">
      <c r="B9" s="18" t="s">
        <v>449</v>
      </c>
      <c r="C9" s="17">
        <v>7.7533347568657096E-2</v>
      </c>
      <c r="D9" s="17">
        <v>0.11064537643596201</v>
      </c>
      <c r="E9" s="17">
        <v>4.61011706919571E-2</v>
      </c>
      <c r="F9" s="17"/>
      <c r="G9" s="17">
        <v>0.15069265397478299</v>
      </c>
      <c r="H9" s="17">
        <v>0.12819809210242</v>
      </c>
      <c r="I9" s="17">
        <v>0.117454975665405</v>
      </c>
      <c r="J9" s="17">
        <v>6.4489999118579097E-2</v>
      </c>
      <c r="K9" s="17">
        <v>5.2902132877277602E-2</v>
      </c>
      <c r="L9" s="17">
        <v>1.9832648147746001E-2</v>
      </c>
      <c r="M9" s="17"/>
      <c r="N9" s="17">
        <v>0.11417028196831</v>
      </c>
      <c r="O9" s="17">
        <v>5.0594492320248798E-2</v>
      </c>
      <c r="P9" s="17">
        <v>6.3170952403712496E-2</v>
      </c>
      <c r="Q9" s="17">
        <v>7.8137929936830094E-2</v>
      </c>
      <c r="R9" s="17">
        <v>4.9513896570965901E-2</v>
      </c>
      <c r="S9" s="17">
        <v>4.5718907819483498E-2</v>
      </c>
      <c r="T9" s="17">
        <v>0.126670576490965</v>
      </c>
      <c r="U9" s="17">
        <v>8.9612436786019198E-2</v>
      </c>
      <c r="V9" s="17">
        <v>0.102459239749597</v>
      </c>
      <c r="W9" s="17"/>
      <c r="X9" s="17">
        <v>0.101476367976979</v>
      </c>
      <c r="Y9" s="17">
        <v>6.4284081545736393E-2</v>
      </c>
    </row>
    <row r="10" spans="2:25" ht="29" x14ac:dyDescent="0.35">
      <c r="B10" s="18" t="s">
        <v>450</v>
      </c>
      <c r="C10" s="17">
        <v>0.22682647701702799</v>
      </c>
      <c r="D10" s="17">
        <v>0.27237719209315497</v>
      </c>
      <c r="E10" s="17">
        <v>0.184238447328162</v>
      </c>
      <c r="F10" s="17"/>
      <c r="G10" s="17">
        <v>0.34612652728069099</v>
      </c>
      <c r="H10" s="17">
        <v>0.29503311465604998</v>
      </c>
      <c r="I10" s="17">
        <v>0.28692633792855199</v>
      </c>
      <c r="J10" s="17">
        <v>0.21141987049215</v>
      </c>
      <c r="K10" s="17">
        <v>0.18046895357214901</v>
      </c>
      <c r="L10" s="17">
        <v>0.144542339186574</v>
      </c>
      <c r="M10" s="17"/>
      <c r="N10" s="17">
        <v>0.28663499324681002</v>
      </c>
      <c r="O10" s="17">
        <v>0.25821088823253102</v>
      </c>
      <c r="P10" s="17">
        <v>0.15691268681558501</v>
      </c>
      <c r="Q10" s="17">
        <v>0.23366428165016401</v>
      </c>
      <c r="R10" s="17">
        <v>0.17306100267646601</v>
      </c>
      <c r="S10" s="17">
        <v>0.18302623975617799</v>
      </c>
      <c r="T10" s="17">
        <v>0.29989070155549102</v>
      </c>
      <c r="U10" s="17">
        <v>0.30726062756129102</v>
      </c>
      <c r="V10" s="17">
        <v>0.19730187200069799</v>
      </c>
      <c r="W10" s="17"/>
      <c r="X10" s="17">
        <v>0.27830990856404803</v>
      </c>
      <c r="Y10" s="17">
        <v>0.19833726936041199</v>
      </c>
    </row>
    <row r="11" spans="2:25" ht="29" x14ac:dyDescent="0.35">
      <c r="B11" s="18" t="s">
        <v>451</v>
      </c>
      <c r="C11" s="17">
        <v>0.56995746706524097</v>
      </c>
      <c r="D11" s="17">
        <v>0.52987006695507399</v>
      </c>
      <c r="E11" s="17">
        <v>0.60715991387545198</v>
      </c>
      <c r="F11" s="17"/>
      <c r="G11" s="17">
        <v>0.428733074786595</v>
      </c>
      <c r="H11" s="17">
        <v>0.48236918714528698</v>
      </c>
      <c r="I11" s="17">
        <v>0.49610665215841099</v>
      </c>
      <c r="J11" s="17">
        <v>0.59165396559721295</v>
      </c>
      <c r="K11" s="17">
        <v>0.63072070338368602</v>
      </c>
      <c r="L11" s="17">
        <v>0.66691459411456899</v>
      </c>
      <c r="M11" s="17"/>
      <c r="N11" s="17">
        <v>0.47723913033793403</v>
      </c>
      <c r="O11" s="17">
        <v>0.63736796992648703</v>
      </c>
      <c r="P11" s="17">
        <v>0.60536677843302</v>
      </c>
      <c r="Q11" s="17">
        <v>0.63450656197297794</v>
      </c>
      <c r="R11" s="17">
        <v>0.67111989792229398</v>
      </c>
      <c r="S11" s="17">
        <v>0.69602301334156302</v>
      </c>
      <c r="T11" s="17">
        <v>0.38188612362609298</v>
      </c>
      <c r="U11" s="17">
        <v>0.41506090981797</v>
      </c>
      <c r="V11" s="17">
        <v>0.62567517837907505</v>
      </c>
      <c r="W11" s="17"/>
      <c r="X11" s="17">
        <v>0.53948721273382605</v>
      </c>
      <c r="Y11" s="17">
        <v>0.58681868584792396</v>
      </c>
    </row>
    <row r="12" spans="2:25" x14ac:dyDescent="0.35">
      <c r="B12" s="18" t="s">
        <v>434</v>
      </c>
      <c r="C12" s="19">
        <v>0.125682708349074</v>
      </c>
      <c r="D12" s="19">
        <v>8.7107364515809402E-2</v>
      </c>
      <c r="E12" s="19">
        <v>0.162500468104429</v>
      </c>
      <c r="F12" s="19"/>
      <c r="G12" s="19">
        <v>7.4447743957931301E-2</v>
      </c>
      <c r="H12" s="19">
        <v>9.4399606096242802E-2</v>
      </c>
      <c r="I12" s="19">
        <v>9.9512034247630499E-2</v>
      </c>
      <c r="J12" s="19">
        <v>0.132436164792058</v>
      </c>
      <c r="K12" s="19">
        <v>0.135908210166888</v>
      </c>
      <c r="L12" s="19">
        <v>0.16871041855111099</v>
      </c>
      <c r="M12" s="19"/>
      <c r="N12" s="19">
        <v>0.12195559444694599</v>
      </c>
      <c r="O12" s="19">
        <v>5.3826649520732302E-2</v>
      </c>
      <c r="P12" s="19">
        <v>0.174549582347682</v>
      </c>
      <c r="Q12" s="19">
        <v>5.3691226440028203E-2</v>
      </c>
      <c r="R12" s="19">
        <v>0.106305202830274</v>
      </c>
      <c r="S12" s="19">
        <v>7.5231839082775101E-2</v>
      </c>
      <c r="T12" s="19">
        <v>0.191552598327451</v>
      </c>
      <c r="U12" s="19">
        <v>0.18806602583471899</v>
      </c>
      <c r="V12" s="19">
        <v>7.4563709870630795E-2</v>
      </c>
      <c r="W12" s="19"/>
      <c r="X12" s="19">
        <v>8.0726510725147194E-2</v>
      </c>
      <c r="Y12" s="19">
        <v>0.15055996324592799</v>
      </c>
    </row>
    <row r="13" spans="2:25" x14ac:dyDescent="0.35">
      <c r="B13" s="16"/>
    </row>
    <row r="14" spans="2:25" x14ac:dyDescent="0.35">
      <c r="B14" t="s">
        <v>51</v>
      </c>
    </row>
    <row r="15" spans="2:25" x14ac:dyDescent="0.35">
      <c r="B15" t="s">
        <v>52</v>
      </c>
    </row>
    <row r="17" spans="2:2" x14ac:dyDescent="0.35">
      <c r="B17" s="8" t="str">
        <f>HYPERLINK("#'Contents'!A1", "Return to Contents")</f>
        <v>Return to Contents</v>
      </c>
    </row>
  </sheetData>
  <mergeCells count="5">
    <mergeCell ref="D5:E5"/>
    <mergeCell ref="G5:L5"/>
    <mergeCell ref="N5:V5"/>
    <mergeCell ref="X5:Y5"/>
    <mergeCell ref="D2:W2"/>
  </mergeCells>
  <pageMargins left="0.7" right="0.7" top="0.75" bottom="0.75" header="0.3" footer="0.3"/>
  <pageSetup paperSize="9" orientation="portrait" horizontalDpi="300" verticalDpi="300"/>
  <drawing r:id="rId1"/>
</worksheet>
</file>

<file path=xl/worksheets/sheet1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C00-000000000000}">
  <dimension ref="B2:Y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s>
  <sheetData>
    <row r="2" spans="2:25" ht="40" customHeight="1" x14ac:dyDescent="0.35">
      <c r="D2" s="30" t="s">
        <v>455</v>
      </c>
      <c r="E2" s="26"/>
      <c r="F2" s="26"/>
      <c r="G2" s="26"/>
      <c r="H2" s="26"/>
      <c r="I2" s="26"/>
      <c r="J2" s="26"/>
      <c r="K2" s="26"/>
      <c r="L2" s="26"/>
      <c r="M2" s="26"/>
      <c r="N2" s="26"/>
      <c r="O2" s="26"/>
      <c r="P2" s="26"/>
      <c r="Q2" s="26"/>
      <c r="R2" s="26"/>
      <c r="S2" s="26"/>
      <c r="T2" s="26"/>
      <c r="U2" s="26"/>
      <c r="V2" s="26"/>
      <c r="W2" s="26"/>
    </row>
    <row r="5" spans="2:25" ht="30" customHeight="1" x14ac:dyDescent="0.35">
      <c r="B5" s="15"/>
      <c r="C5" s="15"/>
      <c r="D5" s="29" t="s">
        <v>38</v>
      </c>
      <c r="E5" s="29"/>
      <c r="F5" s="15"/>
      <c r="G5" s="29" t="s">
        <v>39</v>
      </c>
      <c r="H5" s="29"/>
      <c r="I5" s="29"/>
      <c r="J5" s="29"/>
      <c r="K5" s="29"/>
      <c r="L5" s="29"/>
      <c r="M5" s="15"/>
      <c r="N5" s="29" t="s">
        <v>40</v>
      </c>
      <c r="O5" s="29"/>
      <c r="P5" s="29"/>
      <c r="Q5" s="29"/>
      <c r="R5" s="29"/>
      <c r="S5" s="29"/>
      <c r="T5" s="29"/>
      <c r="U5" s="29"/>
      <c r="V5" s="29"/>
      <c r="W5" s="15"/>
      <c r="X5" s="29" t="s">
        <v>41</v>
      </c>
      <c r="Y5" s="29"/>
    </row>
    <row r="6" spans="2:25" ht="29"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row>
    <row r="7" spans="2:25" ht="30" customHeight="1" x14ac:dyDescent="0.35">
      <c r="B7" s="10" t="s">
        <v>19</v>
      </c>
      <c r="C7" s="10">
        <v>6838</v>
      </c>
      <c r="D7" s="10">
        <v>3283</v>
      </c>
      <c r="E7" s="10">
        <v>3541</v>
      </c>
      <c r="F7" s="10"/>
      <c r="G7" s="10">
        <v>635</v>
      </c>
      <c r="H7" s="10">
        <v>1075</v>
      </c>
      <c r="I7" s="10">
        <v>1093</v>
      </c>
      <c r="J7" s="10">
        <v>1228</v>
      </c>
      <c r="K7" s="10">
        <v>1156</v>
      </c>
      <c r="L7" s="10">
        <v>1651</v>
      </c>
      <c r="M7" s="10"/>
      <c r="N7" s="10">
        <v>208</v>
      </c>
      <c r="O7" s="10">
        <v>200</v>
      </c>
      <c r="P7" s="10">
        <v>1002</v>
      </c>
      <c r="Q7" s="10">
        <v>1000</v>
      </c>
      <c r="R7" s="10">
        <v>1004</v>
      </c>
      <c r="S7" s="10">
        <v>1006</v>
      </c>
      <c r="T7" s="10">
        <v>1006</v>
      </c>
      <c r="U7" s="10">
        <v>1007</v>
      </c>
      <c r="V7" s="10">
        <v>405</v>
      </c>
      <c r="W7" s="10"/>
      <c r="X7" s="10">
        <v>2650</v>
      </c>
      <c r="Y7" s="10">
        <v>4188</v>
      </c>
    </row>
    <row r="8" spans="2:25" ht="30" customHeight="1" x14ac:dyDescent="0.35">
      <c r="B8" s="11" t="s">
        <v>20</v>
      </c>
      <c r="C8" s="11">
        <v>6838</v>
      </c>
      <c r="D8" s="11">
        <v>3309</v>
      </c>
      <c r="E8" s="11">
        <v>3515</v>
      </c>
      <c r="F8" s="11"/>
      <c r="G8" s="11">
        <v>645</v>
      </c>
      <c r="H8" s="11">
        <v>1026</v>
      </c>
      <c r="I8" s="11">
        <v>1111</v>
      </c>
      <c r="J8" s="11">
        <v>1184</v>
      </c>
      <c r="K8" s="11">
        <v>1140</v>
      </c>
      <c r="L8" s="11">
        <v>1732</v>
      </c>
      <c r="M8" s="11"/>
      <c r="N8" s="11">
        <v>208</v>
      </c>
      <c r="O8" s="11">
        <v>200</v>
      </c>
      <c r="P8" s="11">
        <v>1002</v>
      </c>
      <c r="Q8" s="11">
        <v>1000</v>
      </c>
      <c r="R8" s="11">
        <v>1004</v>
      </c>
      <c r="S8" s="11">
        <v>1006</v>
      </c>
      <c r="T8" s="11">
        <v>1006</v>
      </c>
      <c r="U8" s="11">
        <v>1007</v>
      </c>
      <c r="V8" s="11">
        <v>405</v>
      </c>
      <c r="W8" s="11"/>
      <c r="X8" s="11">
        <v>2436</v>
      </c>
      <c r="Y8" s="11">
        <v>4402</v>
      </c>
    </row>
    <row r="9" spans="2:25" ht="29" x14ac:dyDescent="0.35">
      <c r="B9" s="18" t="s">
        <v>449</v>
      </c>
      <c r="C9" s="17">
        <v>9.3267335590240794E-2</v>
      </c>
      <c r="D9" s="17">
        <v>0.13002052497355099</v>
      </c>
      <c r="E9" s="17">
        <v>5.85088291281297E-2</v>
      </c>
      <c r="F9" s="17"/>
      <c r="G9" s="17">
        <v>0.19083051617778801</v>
      </c>
      <c r="H9" s="17">
        <v>0.13967293566182001</v>
      </c>
      <c r="I9" s="17">
        <v>0.134133240926637</v>
      </c>
      <c r="J9" s="17">
        <v>7.5880326064451595E-2</v>
      </c>
      <c r="K9" s="17">
        <v>6.6077521172779402E-2</v>
      </c>
      <c r="L9" s="17">
        <v>3.3052810895749102E-2</v>
      </c>
      <c r="M9" s="17"/>
      <c r="N9" s="17">
        <v>0.119786571305183</v>
      </c>
      <c r="O9" s="17">
        <v>9.3400615409422502E-2</v>
      </c>
      <c r="P9" s="17">
        <v>7.8710209241989099E-2</v>
      </c>
      <c r="Q9" s="17">
        <v>8.4879835598276596E-2</v>
      </c>
      <c r="R9" s="17">
        <v>7.6316455831372906E-2</v>
      </c>
      <c r="S9" s="17">
        <v>5.9484935114891002E-2</v>
      </c>
      <c r="T9" s="17">
        <v>0.138926238025532</v>
      </c>
      <c r="U9" s="17">
        <v>0.10833613971266901</v>
      </c>
      <c r="V9" s="17">
        <v>0.111360471776129</v>
      </c>
      <c r="W9" s="17"/>
      <c r="X9" s="17">
        <v>0.124479695458415</v>
      </c>
      <c r="Y9" s="17">
        <v>7.5995460444829493E-2</v>
      </c>
    </row>
    <row r="10" spans="2:25" ht="29" x14ac:dyDescent="0.35">
      <c r="B10" s="18" t="s">
        <v>450</v>
      </c>
      <c r="C10" s="17">
        <v>0.24112984641250099</v>
      </c>
      <c r="D10" s="17">
        <v>0.28669493506320798</v>
      </c>
      <c r="E10" s="17">
        <v>0.197694992558408</v>
      </c>
      <c r="F10" s="17"/>
      <c r="G10" s="17">
        <v>0.36196408923935802</v>
      </c>
      <c r="H10" s="17">
        <v>0.33701737813000199</v>
      </c>
      <c r="I10" s="17">
        <v>0.30506353028844602</v>
      </c>
      <c r="J10" s="17">
        <v>0.22020822605399801</v>
      </c>
      <c r="K10" s="17">
        <v>0.18363065628368899</v>
      </c>
      <c r="L10" s="17">
        <v>0.15053121397873401</v>
      </c>
      <c r="M10" s="17"/>
      <c r="N10" s="17">
        <v>0.317279629430682</v>
      </c>
      <c r="O10" s="17">
        <v>0.219374115754504</v>
      </c>
      <c r="P10" s="17">
        <v>0.197761845928139</v>
      </c>
      <c r="Q10" s="17">
        <v>0.231342139767929</v>
      </c>
      <c r="R10" s="17">
        <v>0.21381230251143701</v>
      </c>
      <c r="S10" s="17">
        <v>0.189757736878996</v>
      </c>
      <c r="T10" s="17">
        <v>0.30340131996221398</v>
      </c>
      <c r="U10" s="17">
        <v>0.31670060520256099</v>
      </c>
      <c r="V10" s="17">
        <v>0.19697363448286401</v>
      </c>
      <c r="W10" s="17"/>
      <c r="X10" s="17">
        <v>0.29420864072721298</v>
      </c>
      <c r="Y10" s="17">
        <v>0.21175781840357699</v>
      </c>
    </row>
    <row r="11" spans="2:25" ht="29" x14ac:dyDescent="0.35">
      <c r="B11" s="18" t="s">
        <v>451</v>
      </c>
      <c r="C11" s="17">
        <v>0.56281554155089497</v>
      </c>
      <c r="D11" s="17">
        <v>0.51193238128641205</v>
      </c>
      <c r="E11" s="17">
        <v>0.61100456919985302</v>
      </c>
      <c r="F11" s="17"/>
      <c r="G11" s="17">
        <v>0.38060464736516503</v>
      </c>
      <c r="H11" s="17">
        <v>0.452180498722694</v>
      </c>
      <c r="I11" s="17">
        <v>0.47695230727530302</v>
      </c>
      <c r="J11" s="17">
        <v>0.598102315393233</v>
      </c>
      <c r="K11" s="17">
        <v>0.63602650166444896</v>
      </c>
      <c r="L11" s="17">
        <v>0.67889416409655301</v>
      </c>
      <c r="M11" s="17"/>
      <c r="N11" s="17">
        <v>0.46313186167221199</v>
      </c>
      <c r="O11" s="17">
        <v>0.64505316683143699</v>
      </c>
      <c r="P11" s="17">
        <v>0.59328895921889802</v>
      </c>
      <c r="Q11" s="17">
        <v>0.63175796550958496</v>
      </c>
      <c r="R11" s="17">
        <v>0.63201696243498695</v>
      </c>
      <c r="S11" s="17">
        <v>0.69719590327008396</v>
      </c>
      <c r="T11" s="17">
        <v>0.39366514575568501</v>
      </c>
      <c r="U11" s="17">
        <v>0.40408015346024501</v>
      </c>
      <c r="V11" s="17">
        <v>0.63727691295029998</v>
      </c>
      <c r="W11" s="17"/>
      <c r="X11" s="17">
        <v>0.51814218592272299</v>
      </c>
      <c r="Y11" s="17">
        <v>0.58753628115517798</v>
      </c>
    </row>
    <row r="12" spans="2:25" x14ac:dyDescent="0.35">
      <c r="B12" s="18" t="s">
        <v>434</v>
      </c>
      <c r="C12" s="19">
        <v>0.102787276446363</v>
      </c>
      <c r="D12" s="19">
        <v>7.1352158676828994E-2</v>
      </c>
      <c r="E12" s="19">
        <v>0.13279160911360899</v>
      </c>
      <c r="F12" s="19"/>
      <c r="G12" s="19">
        <v>6.6600747217688702E-2</v>
      </c>
      <c r="H12" s="19">
        <v>7.1129187485483997E-2</v>
      </c>
      <c r="I12" s="19">
        <v>8.3850921509613902E-2</v>
      </c>
      <c r="J12" s="19">
        <v>0.105809132488317</v>
      </c>
      <c r="K12" s="19">
        <v>0.114265320879083</v>
      </c>
      <c r="L12" s="19">
        <v>0.13752181102896399</v>
      </c>
      <c r="M12" s="19"/>
      <c r="N12" s="19">
        <v>9.9801937591922907E-2</v>
      </c>
      <c r="O12" s="19">
        <v>4.2172102004636197E-2</v>
      </c>
      <c r="P12" s="19">
        <v>0.130238985610973</v>
      </c>
      <c r="Q12" s="19">
        <v>5.2020059124209699E-2</v>
      </c>
      <c r="R12" s="19">
        <v>7.7854279222203795E-2</v>
      </c>
      <c r="S12" s="19">
        <v>5.3561424736029303E-2</v>
      </c>
      <c r="T12" s="19">
        <v>0.16400729625656901</v>
      </c>
      <c r="U12" s="19">
        <v>0.170883101624525</v>
      </c>
      <c r="V12" s="19">
        <v>5.4388980790707801E-2</v>
      </c>
      <c r="W12" s="19"/>
      <c r="X12" s="19">
        <v>6.3169477891648895E-2</v>
      </c>
      <c r="Y12" s="19">
        <v>0.124710439996416</v>
      </c>
    </row>
    <row r="13" spans="2:25" x14ac:dyDescent="0.35">
      <c r="B13" s="16"/>
    </row>
    <row r="14" spans="2:25" x14ac:dyDescent="0.35">
      <c r="B14" t="s">
        <v>51</v>
      </c>
    </row>
    <row r="15" spans="2:25" x14ac:dyDescent="0.35">
      <c r="B15" t="s">
        <v>52</v>
      </c>
    </row>
    <row r="17" spans="2:2" x14ac:dyDescent="0.35">
      <c r="B17" s="8" t="str">
        <f>HYPERLINK("#'Contents'!A1", "Return to Contents")</f>
        <v>Return to Contents</v>
      </c>
    </row>
  </sheetData>
  <mergeCells count="5">
    <mergeCell ref="D5:E5"/>
    <mergeCell ref="G5:L5"/>
    <mergeCell ref="N5:V5"/>
    <mergeCell ref="X5:Y5"/>
    <mergeCell ref="D2:W2"/>
  </mergeCells>
  <pageMargins left="0.7" right="0.7" top="0.75" bottom="0.75" header="0.3" footer="0.3"/>
  <pageSetup paperSize="9" orientation="portrait" horizontalDpi="300" verticalDpi="300"/>
  <drawing r:id="rId1"/>
</worksheet>
</file>

<file path=xl/worksheets/sheet1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D00-000000000000}">
  <dimension ref="B2:Y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s>
  <sheetData>
    <row r="2" spans="2:25" ht="40" customHeight="1" x14ac:dyDescent="0.35">
      <c r="D2" s="30" t="s">
        <v>456</v>
      </c>
      <c r="E2" s="26"/>
      <c r="F2" s="26"/>
      <c r="G2" s="26"/>
      <c r="H2" s="26"/>
      <c r="I2" s="26"/>
      <c r="J2" s="26"/>
      <c r="K2" s="26"/>
      <c r="L2" s="26"/>
      <c r="M2" s="26"/>
      <c r="N2" s="26"/>
      <c r="O2" s="26"/>
      <c r="P2" s="26"/>
      <c r="Q2" s="26"/>
      <c r="R2" s="26"/>
      <c r="S2" s="26"/>
      <c r="T2" s="26"/>
      <c r="U2" s="26"/>
      <c r="V2" s="26"/>
      <c r="W2" s="26"/>
    </row>
    <row r="5" spans="2:25" ht="30" customHeight="1" x14ac:dyDescent="0.35">
      <c r="B5" s="15"/>
      <c r="C5" s="15"/>
      <c r="D5" s="29" t="s">
        <v>38</v>
      </c>
      <c r="E5" s="29"/>
      <c r="F5" s="15"/>
      <c r="G5" s="29" t="s">
        <v>39</v>
      </c>
      <c r="H5" s="29"/>
      <c r="I5" s="29"/>
      <c r="J5" s="29"/>
      <c r="K5" s="29"/>
      <c r="L5" s="29"/>
      <c r="M5" s="15"/>
      <c r="N5" s="29" t="s">
        <v>40</v>
      </c>
      <c r="O5" s="29"/>
      <c r="P5" s="29"/>
      <c r="Q5" s="29"/>
      <c r="R5" s="29"/>
      <c r="S5" s="29"/>
      <c r="T5" s="29"/>
      <c r="U5" s="29"/>
      <c r="V5" s="29"/>
      <c r="W5" s="15"/>
      <c r="X5" s="29" t="s">
        <v>41</v>
      </c>
      <c r="Y5" s="29"/>
    </row>
    <row r="6" spans="2:25" ht="29"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row>
    <row r="7" spans="2:25" ht="30" customHeight="1" x14ac:dyDescent="0.35">
      <c r="B7" s="10" t="s">
        <v>19</v>
      </c>
      <c r="C7" s="10">
        <v>6838</v>
      </c>
      <c r="D7" s="10">
        <v>3283</v>
      </c>
      <c r="E7" s="10">
        <v>3541</v>
      </c>
      <c r="F7" s="10"/>
      <c r="G7" s="10">
        <v>635</v>
      </c>
      <c r="H7" s="10">
        <v>1075</v>
      </c>
      <c r="I7" s="10">
        <v>1093</v>
      </c>
      <c r="J7" s="10">
        <v>1228</v>
      </c>
      <c r="K7" s="10">
        <v>1156</v>
      </c>
      <c r="L7" s="10">
        <v>1651</v>
      </c>
      <c r="M7" s="10"/>
      <c r="N7" s="10">
        <v>208</v>
      </c>
      <c r="O7" s="10">
        <v>200</v>
      </c>
      <c r="P7" s="10">
        <v>1002</v>
      </c>
      <c r="Q7" s="10">
        <v>1000</v>
      </c>
      <c r="R7" s="10">
        <v>1004</v>
      </c>
      <c r="S7" s="10">
        <v>1006</v>
      </c>
      <c r="T7" s="10">
        <v>1006</v>
      </c>
      <c r="U7" s="10">
        <v>1007</v>
      </c>
      <c r="V7" s="10">
        <v>405</v>
      </c>
      <c r="W7" s="10"/>
      <c r="X7" s="10">
        <v>2650</v>
      </c>
      <c r="Y7" s="10">
        <v>4188</v>
      </c>
    </row>
    <row r="8" spans="2:25" ht="30" customHeight="1" x14ac:dyDescent="0.35">
      <c r="B8" s="11" t="s">
        <v>20</v>
      </c>
      <c r="C8" s="11">
        <v>6838</v>
      </c>
      <c r="D8" s="11">
        <v>3309</v>
      </c>
      <c r="E8" s="11">
        <v>3515</v>
      </c>
      <c r="F8" s="11"/>
      <c r="G8" s="11">
        <v>645</v>
      </c>
      <c r="H8" s="11">
        <v>1026</v>
      </c>
      <c r="I8" s="11">
        <v>1111</v>
      </c>
      <c r="J8" s="11">
        <v>1184</v>
      </c>
      <c r="K8" s="11">
        <v>1140</v>
      </c>
      <c r="L8" s="11">
        <v>1732</v>
      </c>
      <c r="M8" s="11"/>
      <c r="N8" s="11">
        <v>208</v>
      </c>
      <c r="O8" s="11">
        <v>200</v>
      </c>
      <c r="P8" s="11">
        <v>1002</v>
      </c>
      <c r="Q8" s="11">
        <v>1000</v>
      </c>
      <c r="R8" s="11">
        <v>1004</v>
      </c>
      <c r="S8" s="11">
        <v>1006</v>
      </c>
      <c r="T8" s="11">
        <v>1006</v>
      </c>
      <c r="U8" s="11">
        <v>1007</v>
      </c>
      <c r="V8" s="11">
        <v>405</v>
      </c>
      <c r="W8" s="11"/>
      <c r="X8" s="11">
        <v>2436</v>
      </c>
      <c r="Y8" s="11">
        <v>4402</v>
      </c>
    </row>
    <row r="9" spans="2:25" ht="29" x14ac:dyDescent="0.35">
      <c r="B9" s="18" t="s">
        <v>449</v>
      </c>
      <c r="C9" s="17">
        <v>6.2762528955727495E-2</v>
      </c>
      <c r="D9" s="17">
        <v>8.7696225065491906E-2</v>
      </c>
      <c r="E9" s="17">
        <v>3.9003573158010403E-2</v>
      </c>
      <c r="F9" s="17"/>
      <c r="G9" s="17">
        <v>0.12164489661092701</v>
      </c>
      <c r="H9" s="17">
        <v>0.11809828634325301</v>
      </c>
      <c r="I9" s="17">
        <v>0.105832535506633</v>
      </c>
      <c r="J9" s="17">
        <v>3.8672143511431702E-2</v>
      </c>
      <c r="K9" s="17">
        <v>3.4140861175017599E-2</v>
      </c>
      <c r="L9" s="17">
        <v>1.57658153247974E-2</v>
      </c>
      <c r="M9" s="17"/>
      <c r="N9" s="17">
        <v>8.0481398708566104E-2</v>
      </c>
      <c r="O9" s="17">
        <v>3.93525327631511E-2</v>
      </c>
      <c r="P9" s="17">
        <v>5.3833992026803099E-2</v>
      </c>
      <c r="Q9" s="17">
        <v>6.8339316726487603E-2</v>
      </c>
      <c r="R9" s="17">
        <v>5.7284595426747E-2</v>
      </c>
      <c r="S9" s="17">
        <v>4.0516863380458297E-2</v>
      </c>
      <c r="T9" s="17">
        <v>7.77451927344677E-2</v>
      </c>
      <c r="U9" s="17">
        <v>6.9420868479068407E-2</v>
      </c>
      <c r="V9" s="17">
        <v>8.8608350517078202E-2</v>
      </c>
      <c r="W9" s="17"/>
      <c r="X9" s="17">
        <v>9.0953150083266501E-2</v>
      </c>
      <c r="Y9" s="17">
        <v>4.71627828794009E-2</v>
      </c>
    </row>
    <row r="10" spans="2:25" ht="29" x14ac:dyDescent="0.35">
      <c r="B10" s="18" t="s">
        <v>450</v>
      </c>
      <c r="C10" s="17">
        <v>0.1710511632825</v>
      </c>
      <c r="D10" s="17">
        <v>0.218652658957492</v>
      </c>
      <c r="E10" s="17">
        <v>0.12600022446110601</v>
      </c>
      <c r="F10" s="17"/>
      <c r="G10" s="17">
        <v>0.27591261094022002</v>
      </c>
      <c r="H10" s="17">
        <v>0.26613638560380298</v>
      </c>
      <c r="I10" s="17">
        <v>0.23426923180179099</v>
      </c>
      <c r="J10" s="17">
        <v>0.16939553224755399</v>
      </c>
      <c r="K10" s="17">
        <v>0.12419878132401301</v>
      </c>
      <c r="L10" s="17">
        <v>6.7157413094145801E-2</v>
      </c>
      <c r="M10" s="17"/>
      <c r="N10" s="17">
        <v>0.173467407359602</v>
      </c>
      <c r="O10" s="17">
        <v>0.22002828966947799</v>
      </c>
      <c r="P10" s="17">
        <v>0.112437025292868</v>
      </c>
      <c r="Q10" s="17">
        <v>0.18367222996225199</v>
      </c>
      <c r="R10" s="17">
        <v>0.18703615473400101</v>
      </c>
      <c r="S10" s="17">
        <v>0.13905093809274899</v>
      </c>
      <c r="T10" s="17">
        <v>0.18818119143890699</v>
      </c>
      <c r="U10" s="17">
        <v>0.22017998137751099</v>
      </c>
      <c r="V10" s="17">
        <v>0.13463156455901101</v>
      </c>
      <c r="W10" s="17"/>
      <c r="X10" s="17">
        <v>0.22517820618092299</v>
      </c>
      <c r="Y10" s="17">
        <v>0.14109906959652699</v>
      </c>
    </row>
    <row r="11" spans="2:25" ht="29" x14ac:dyDescent="0.35">
      <c r="B11" s="18" t="s">
        <v>451</v>
      </c>
      <c r="C11" s="17">
        <v>0.35718779650048799</v>
      </c>
      <c r="D11" s="17">
        <v>0.35677008083789102</v>
      </c>
      <c r="E11" s="17">
        <v>0.35735118693132401</v>
      </c>
      <c r="F11" s="17"/>
      <c r="G11" s="17">
        <v>0.30919363567658797</v>
      </c>
      <c r="H11" s="17">
        <v>0.325542114697495</v>
      </c>
      <c r="I11" s="17">
        <v>0.33920591493033903</v>
      </c>
      <c r="J11" s="17">
        <v>0.38891980593330999</v>
      </c>
      <c r="K11" s="17">
        <v>0.376814201089617</v>
      </c>
      <c r="L11" s="17">
        <v>0.37071444560453598</v>
      </c>
      <c r="M11" s="17"/>
      <c r="N11" s="17">
        <v>0.20646268962004199</v>
      </c>
      <c r="O11" s="17">
        <v>0.21149704588544099</v>
      </c>
      <c r="P11" s="17">
        <v>0.38720438698759602</v>
      </c>
      <c r="Q11" s="17">
        <v>0.40572951390613299</v>
      </c>
      <c r="R11" s="17">
        <v>0.47180705749521001</v>
      </c>
      <c r="S11" s="17">
        <v>0.37639036895993999</v>
      </c>
      <c r="T11" s="17">
        <v>0.293253667397466</v>
      </c>
      <c r="U11" s="17">
        <v>0.300462199605112</v>
      </c>
      <c r="V11" s="17">
        <v>0.28043598242343298</v>
      </c>
      <c r="W11" s="17"/>
      <c r="X11" s="17">
        <v>0.35937930536440199</v>
      </c>
      <c r="Y11" s="17">
        <v>0.35597508885398399</v>
      </c>
    </row>
    <row r="12" spans="2:25" x14ac:dyDescent="0.35">
      <c r="B12" s="18" t="s">
        <v>434</v>
      </c>
      <c r="C12" s="19">
        <v>0.408998511261284</v>
      </c>
      <c r="D12" s="19">
        <v>0.33688103513912498</v>
      </c>
      <c r="E12" s="19">
        <v>0.47764501544956001</v>
      </c>
      <c r="F12" s="19"/>
      <c r="G12" s="19">
        <v>0.29324885677226498</v>
      </c>
      <c r="H12" s="19">
        <v>0.29022321335544798</v>
      </c>
      <c r="I12" s="19">
        <v>0.32069231776123702</v>
      </c>
      <c r="J12" s="19">
        <v>0.40301251830770402</v>
      </c>
      <c r="K12" s="19">
        <v>0.46484615641135302</v>
      </c>
      <c r="L12" s="19">
        <v>0.54636232597652101</v>
      </c>
      <c r="M12" s="19"/>
      <c r="N12" s="19">
        <v>0.53958850431178995</v>
      </c>
      <c r="O12" s="19">
        <v>0.52912213168193001</v>
      </c>
      <c r="P12" s="19">
        <v>0.44652459569273301</v>
      </c>
      <c r="Q12" s="19">
        <v>0.34225893940512803</v>
      </c>
      <c r="R12" s="19">
        <v>0.28387219234404198</v>
      </c>
      <c r="S12" s="19">
        <v>0.44404182956685301</v>
      </c>
      <c r="T12" s="19">
        <v>0.440819948429159</v>
      </c>
      <c r="U12" s="19">
        <v>0.40993695053830898</v>
      </c>
      <c r="V12" s="19">
        <v>0.49632410250047798</v>
      </c>
      <c r="W12" s="19"/>
      <c r="X12" s="19">
        <v>0.32448933837140798</v>
      </c>
      <c r="Y12" s="19">
        <v>0.45576305867008798</v>
      </c>
    </row>
    <row r="13" spans="2:25" x14ac:dyDescent="0.35">
      <c r="B13" s="16"/>
    </row>
    <row r="14" spans="2:25" x14ac:dyDescent="0.35">
      <c r="B14" t="s">
        <v>51</v>
      </c>
    </row>
    <row r="15" spans="2:25" x14ac:dyDescent="0.35">
      <c r="B15" t="s">
        <v>52</v>
      </c>
    </row>
    <row r="17" spans="2:2" x14ac:dyDescent="0.35">
      <c r="B17" s="8" t="str">
        <f>HYPERLINK("#'Contents'!A1", "Return to Contents")</f>
        <v>Return to Contents</v>
      </c>
    </row>
  </sheetData>
  <mergeCells count="5">
    <mergeCell ref="D5:E5"/>
    <mergeCell ref="G5:L5"/>
    <mergeCell ref="N5:V5"/>
    <mergeCell ref="X5:Y5"/>
    <mergeCell ref="D2:W2"/>
  </mergeCells>
  <pageMargins left="0.7" right="0.7" top="0.75" bottom="0.75" header="0.3" footer="0.3"/>
  <pageSetup paperSize="9" orientation="portrait" horizontalDpi="300" verticalDpi="300"/>
  <drawing r:id="rId1"/>
</worksheet>
</file>

<file path=xl/worksheets/sheet1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E00-000000000000}">
  <dimension ref="B2:Y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s>
  <sheetData>
    <row r="2" spans="2:25" ht="40" customHeight="1" x14ac:dyDescent="0.35">
      <c r="D2" s="30" t="s">
        <v>457</v>
      </c>
      <c r="E2" s="26"/>
      <c r="F2" s="26"/>
      <c r="G2" s="26"/>
      <c r="H2" s="26"/>
      <c r="I2" s="26"/>
      <c r="J2" s="26"/>
      <c r="K2" s="26"/>
      <c r="L2" s="26"/>
      <c r="M2" s="26"/>
      <c r="N2" s="26"/>
      <c r="O2" s="26"/>
      <c r="P2" s="26"/>
      <c r="Q2" s="26"/>
      <c r="R2" s="26"/>
      <c r="S2" s="26"/>
      <c r="T2" s="26"/>
      <c r="U2" s="26"/>
      <c r="V2" s="26"/>
      <c r="W2" s="26"/>
    </row>
    <row r="5" spans="2:25" ht="30" customHeight="1" x14ac:dyDescent="0.35">
      <c r="B5" s="15"/>
      <c r="C5" s="15"/>
      <c r="D5" s="29" t="s">
        <v>38</v>
      </c>
      <c r="E5" s="29"/>
      <c r="F5" s="15"/>
      <c r="G5" s="29" t="s">
        <v>39</v>
      </c>
      <c r="H5" s="29"/>
      <c r="I5" s="29"/>
      <c r="J5" s="29"/>
      <c r="K5" s="29"/>
      <c r="L5" s="29"/>
      <c r="M5" s="15"/>
      <c r="N5" s="29" t="s">
        <v>40</v>
      </c>
      <c r="O5" s="29"/>
      <c r="P5" s="29"/>
      <c r="Q5" s="29"/>
      <c r="R5" s="29"/>
      <c r="S5" s="29"/>
      <c r="T5" s="29"/>
      <c r="U5" s="29"/>
      <c r="V5" s="29"/>
      <c r="W5" s="15"/>
      <c r="X5" s="29" t="s">
        <v>41</v>
      </c>
      <c r="Y5" s="29"/>
    </row>
    <row r="6" spans="2:25" ht="29"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row>
    <row r="7" spans="2:25" ht="30" customHeight="1" x14ac:dyDescent="0.35">
      <c r="B7" s="10" t="s">
        <v>19</v>
      </c>
      <c r="C7" s="10">
        <v>6838</v>
      </c>
      <c r="D7" s="10">
        <v>3283</v>
      </c>
      <c r="E7" s="10">
        <v>3541</v>
      </c>
      <c r="F7" s="10"/>
      <c r="G7" s="10">
        <v>635</v>
      </c>
      <c r="H7" s="10">
        <v>1075</v>
      </c>
      <c r="I7" s="10">
        <v>1093</v>
      </c>
      <c r="J7" s="10">
        <v>1228</v>
      </c>
      <c r="K7" s="10">
        <v>1156</v>
      </c>
      <c r="L7" s="10">
        <v>1651</v>
      </c>
      <c r="M7" s="10"/>
      <c r="N7" s="10">
        <v>208</v>
      </c>
      <c r="O7" s="10">
        <v>200</v>
      </c>
      <c r="P7" s="10">
        <v>1002</v>
      </c>
      <c r="Q7" s="10">
        <v>1000</v>
      </c>
      <c r="R7" s="10">
        <v>1004</v>
      </c>
      <c r="S7" s="10">
        <v>1006</v>
      </c>
      <c r="T7" s="10">
        <v>1006</v>
      </c>
      <c r="U7" s="10">
        <v>1007</v>
      </c>
      <c r="V7" s="10">
        <v>405</v>
      </c>
      <c r="W7" s="10"/>
      <c r="X7" s="10">
        <v>2650</v>
      </c>
      <c r="Y7" s="10">
        <v>4188</v>
      </c>
    </row>
    <row r="8" spans="2:25" ht="30" customHeight="1" x14ac:dyDescent="0.35">
      <c r="B8" s="11" t="s">
        <v>20</v>
      </c>
      <c r="C8" s="11">
        <v>6838</v>
      </c>
      <c r="D8" s="11">
        <v>3309</v>
      </c>
      <c r="E8" s="11">
        <v>3515</v>
      </c>
      <c r="F8" s="11"/>
      <c r="G8" s="11">
        <v>645</v>
      </c>
      <c r="H8" s="11">
        <v>1026</v>
      </c>
      <c r="I8" s="11">
        <v>1111</v>
      </c>
      <c r="J8" s="11">
        <v>1184</v>
      </c>
      <c r="K8" s="11">
        <v>1140</v>
      </c>
      <c r="L8" s="11">
        <v>1732</v>
      </c>
      <c r="M8" s="11"/>
      <c r="N8" s="11">
        <v>208</v>
      </c>
      <c r="O8" s="11">
        <v>200</v>
      </c>
      <c r="P8" s="11">
        <v>1002</v>
      </c>
      <c r="Q8" s="11">
        <v>1000</v>
      </c>
      <c r="R8" s="11">
        <v>1004</v>
      </c>
      <c r="S8" s="11">
        <v>1006</v>
      </c>
      <c r="T8" s="11">
        <v>1006</v>
      </c>
      <c r="U8" s="11">
        <v>1007</v>
      </c>
      <c r="V8" s="11">
        <v>405</v>
      </c>
      <c r="W8" s="11"/>
      <c r="X8" s="11">
        <v>2436</v>
      </c>
      <c r="Y8" s="11">
        <v>4402</v>
      </c>
    </row>
    <row r="9" spans="2:25" ht="29" x14ac:dyDescent="0.35">
      <c r="B9" s="18" t="s">
        <v>449</v>
      </c>
      <c r="C9" s="17">
        <v>0.11667979035399</v>
      </c>
      <c r="D9" s="17">
        <v>0.158260360503853</v>
      </c>
      <c r="E9" s="17">
        <v>7.7156079435981198E-2</v>
      </c>
      <c r="F9" s="17"/>
      <c r="G9" s="17">
        <v>0.25592153213420998</v>
      </c>
      <c r="H9" s="17">
        <v>0.199430454978335</v>
      </c>
      <c r="I9" s="17">
        <v>0.168270801390807</v>
      </c>
      <c r="J9" s="17">
        <v>0.104214913995921</v>
      </c>
      <c r="K9" s="17">
        <v>5.71855527983074E-2</v>
      </c>
      <c r="L9" s="17">
        <v>3.0459208035548899E-2</v>
      </c>
      <c r="M9" s="17"/>
      <c r="N9" s="17">
        <v>0.149853834870179</v>
      </c>
      <c r="O9" s="17">
        <v>8.7443335377885803E-2</v>
      </c>
      <c r="P9" s="17">
        <v>9.8691713698693506E-2</v>
      </c>
      <c r="Q9" s="17">
        <v>0.10345297689961599</v>
      </c>
      <c r="R9" s="17">
        <v>0.10441522283929</v>
      </c>
      <c r="S9" s="17">
        <v>7.9163169300349903E-2</v>
      </c>
      <c r="T9" s="17">
        <v>0.13358654568853801</v>
      </c>
      <c r="U9" s="17">
        <v>0.16031465487857199</v>
      </c>
      <c r="V9" s="17">
        <v>0.16434595855337</v>
      </c>
      <c r="W9" s="17"/>
      <c r="X9" s="17">
        <v>0.145910819078787</v>
      </c>
      <c r="Y9" s="17">
        <v>0.100504317540049</v>
      </c>
    </row>
    <row r="10" spans="2:25" ht="29" x14ac:dyDescent="0.35">
      <c r="B10" s="18" t="s">
        <v>450</v>
      </c>
      <c r="C10" s="17">
        <v>0.30368146356178199</v>
      </c>
      <c r="D10" s="17">
        <v>0.35062055516282498</v>
      </c>
      <c r="E10" s="17">
        <v>0.25899696196747402</v>
      </c>
      <c r="F10" s="17"/>
      <c r="G10" s="17">
        <v>0.42670770643613298</v>
      </c>
      <c r="H10" s="17">
        <v>0.413510166237615</v>
      </c>
      <c r="I10" s="17">
        <v>0.38167347463141799</v>
      </c>
      <c r="J10" s="17">
        <v>0.31355791809428502</v>
      </c>
      <c r="K10" s="17">
        <v>0.264428339909902</v>
      </c>
      <c r="L10" s="17">
        <v>0.161940621412071</v>
      </c>
      <c r="M10" s="17"/>
      <c r="N10" s="17">
        <v>0.305593615216463</v>
      </c>
      <c r="O10" s="17">
        <v>0.493157230765011</v>
      </c>
      <c r="P10" s="17">
        <v>0.264785351617562</v>
      </c>
      <c r="Q10" s="17">
        <v>0.29587244254452799</v>
      </c>
      <c r="R10" s="17">
        <v>0.28906180180380397</v>
      </c>
      <c r="S10" s="17">
        <v>0.26241569500849199</v>
      </c>
      <c r="T10" s="17">
        <v>0.27993810197450603</v>
      </c>
      <c r="U10" s="17">
        <v>0.38007407920382802</v>
      </c>
      <c r="V10" s="17">
        <v>0.33242221806899602</v>
      </c>
      <c r="W10" s="17"/>
      <c r="X10" s="17">
        <v>0.36534993420726503</v>
      </c>
      <c r="Y10" s="17">
        <v>0.26955619620308802</v>
      </c>
    </row>
    <row r="11" spans="2:25" ht="29" x14ac:dyDescent="0.35">
      <c r="B11" s="18" t="s">
        <v>451</v>
      </c>
      <c r="C11" s="17">
        <v>0.39517841495787898</v>
      </c>
      <c r="D11" s="17">
        <v>0.35781132902645202</v>
      </c>
      <c r="E11" s="17">
        <v>0.43080304272340902</v>
      </c>
      <c r="F11" s="17"/>
      <c r="G11" s="17">
        <v>0.22180732023083199</v>
      </c>
      <c r="H11" s="17">
        <v>0.28562587246960502</v>
      </c>
      <c r="I11" s="17">
        <v>0.33015909583203701</v>
      </c>
      <c r="J11" s="17">
        <v>0.41369071911319599</v>
      </c>
      <c r="K11" s="17">
        <v>0.47144412184508999</v>
      </c>
      <c r="L11" s="17">
        <v>0.50340824837759202</v>
      </c>
      <c r="M11" s="17"/>
      <c r="N11" s="17">
        <v>0.28439708129464503</v>
      </c>
      <c r="O11" s="17">
        <v>0.31746425517081001</v>
      </c>
      <c r="P11" s="17">
        <v>0.49941089054756499</v>
      </c>
      <c r="Q11" s="17">
        <v>0.41354970064424101</v>
      </c>
      <c r="R11" s="17">
        <v>0.48158187127895402</v>
      </c>
      <c r="S11" s="17">
        <v>0.47243908071456298</v>
      </c>
      <c r="T11" s="17">
        <v>0.28596611941281302</v>
      </c>
      <c r="U11" s="17">
        <v>0.265259324156291</v>
      </c>
      <c r="V11" s="17">
        <v>0.37541524703218199</v>
      </c>
      <c r="W11" s="17"/>
      <c r="X11" s="17">
        <v>0.358157923195915</v>
      </c>
      <c r="Y11" s="17">
        <v>0.41566431587133001</v>
      </c>
    </row>
    <row r="12" spans="2:25" x14ac:dyDescent="0.35">
      <c r="B12" s="18" t="s">
        <v>434</v>
      </c>
      <c r="C12" s="19">
        <v>0.18446033112634799</v>
      </c>
      <c r="D12" s="19">
        <v>0.133307755306871</v>
      </c>
      <c r="E12" s="19">
        <v>0.233043915873137</v>
      </c>
      <c r="F12" s="19"/>
      <c r="G12" s="19">
        <v>9.5563441198824803E-2</v>
      </c>
      <c r="H12" s="19">
        <v>0.101433506314445</v>
      </c>
      <c r="I12" s="19">
        <v>0.119896628145739</v>
      </c>
      <c r="J12" s="19">
        <v>0.16853644879659799</v>
      </c>
      <c r="K12" s="19">
        <v>0.20694198544670001</v>
      </c>
      <c r="L12" s="19">
        <v>0.30419192217478802</v>
      </c>
      <c r="M12" s="19"/>
      <c r="N12" s="19">
        <v>0.26015546861871403</v>
      </c>
      <c r="O12" s="19">
        <v>0.101935178686293</v>
      </c>
      <c r="P12" s="19">
        <v>0.13711204413618</v>
      </c>
      <c r="Q12" s="19">
        <v>0.187124879911614</v>
      </c>
      <c r="R12" s="19">
        <v>0.124941104077952</v>
      </c>
      <c r="S12" s="19">
        <v>0.18598205497659501</v>
      </c>
      <c r="T12" s="19">
        <v>0.300509232924143</v>
      </c>
      <c r="U12" s="19">
        <v>0.19435194176130799</v>
      </c>
      <c r="V12" s="19">
        <v>0.12781657634545199</v>
      </c>
      <c r="W12" s="19"/>
      <c r="X12" s="19">
        <v>0.130581323518033</v>
      </c>
      <c r="Y12" s="19">
        <v>0.21427517038553401</v>
      </c>
    </row>
    <row r="13" spans="2:25" x14ac:dyDescent="0.35">
      <c r="B13" s="16"/>
    </row>
    <row r="14" spans="2:25" x14ac:dyDescent="0.35">
      <c r="B14" t="s">
        <v>51</v>
      </c>
    </row>
    <row r="15" spans="2:25" x14ac:dyDescent="0.35">
      <c r="B15" t="s">
        <v>52</v>
      </c>
    </row>
    <row r="17" spans="2:2" x14ac:dyDescent="0.35">
      <c r="B17" s="8" t="str">
        <f>HYPERLINK("#'Contents'!A1", "Return to Contents")</f>
        <v>Return to Contents</v>
      </c>
    </row>
  </sheetData>
  <mergeCells count="5">
    <mergeCell ref="D5:E5"/>
    <mergeCell ref="G5:L5"/>
    <mergeCell ref="N5:V5"/>
    <mergeCell ref="X5:Y5"/>
    <mergeCell ref="D2:W2"/>
  </mergeCells>
  <pageMargins left="0.7" right="0.7" top="0.75" bottom="0.75" header="0.3" footer="0.3"/>
  <pageSetup paperSize="9" orientation="portrait" horizontalDpi="300" verticalDpi="300"/>
  <drawing r:id="rId1"/>
</worksheet>
</file>

<file path=xl/worksheets/sheet1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F00-000000000000}">
  <dimension ref="B2:Y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s>
  <sheetData>
    <row r="2" spans="2:25" ht="40" customHeight="1" x14ac:dyDescent="0.35">
      <c r="D2" s="30" t="s">
        <v>458</v>
      </c>
      <c r="E2" s="26"/>
      <c r="F2" s="26"/>
      <c r="G2" s="26"/>
      <c r="H2" s="26"/>
      <c r="I2" s="26"/>
      <c r="J2" s="26"/>
      <c r="K2" s="26"/>
      <c r="L2" s="26"/>
      <c r="M2" s="26"/>
      <c r="N2" s="26"/>
      <c r="O2" s="26"/>
      <c r="P2" s="26"/>
      <c r="Q2" s="26"/>
      <c r="R2" s="26"/>
      <c r="S2" s="26"/>
      <c r="T2" s="26"/>
      <c r="U2" s="26"/>
      <c r="V2" s="26"/>
      <c r="W2" s="26"/>
    </row>
    <row r="5" spans="2:25" ht="30" customHeight="1" x14ac:dyDescent="0.35">
      <c r="B5" s="15"/>
      <c r="C5" s="15"/>
      <c r="D5" s="29" t="s">
        <v>38</v>
      </c>
      <c r="E5" s="29"/>
      <c r="F5" s="15"/>
      <c r="G5" s="29" t="s">
        <v>39</v>
      </c>
      <c r="H5" s="29"/>
      <c r="I5" s="29"/>
      <c r="J5" s="29"/>
      <c r="K5" s="29"/>
      <c r="L5" s="29"/>
      <c r="M5" s="15"/>
      <c r="N5" s="29" t="s">
        <v>40</v>
      </c>
      <c r="O5" s="29"/>
      <c r="P5" s="29"/>
      <c r="Q5" s="29"/>
      <c r="R5" s="29"/>
      <c r="S5" s="29"/>
      <c r="T5" s="29"/>
      <c r="U5" s="29"/>
      <c r="V5" s="29"/>
      <c r="W5" s="15"/>
      <c r="X5" s="29" t="s">
        <v>41</v>
      </c>
      <c r="Y5" s="29"/>
    </row>
    <row r="6" spans="2:25" ht="29"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row>
    <row r="7" spans="2:25" ht="30" customHeight="1" x14ac:dyDescent="0.35">
      <c r="B7" s="10" t="s">
        <v>19</v>
      </c>
      <c r="C7" s="10">
        <v>6838</v>
      </c>
      <c r="D7" s="10">
        <v>3283</v>
      </c>
      <c r="E7" s="10">
        <v>3541</v>
      </c>
      <c r="F7" s="10"/>
      <c r="G7" s="10">
        <v>635</v>
      </c>
      <c r="H7" s="10">
        <v>1075</v>
      </c>
      <c r="I7" s="10">
        <v>1093</v>
      </c>
      <c r="J7" s="10">
        <v>1228</v>
      </c>
      <c r="K7" s="10">
        <v>1156</v>
      </c>
      <c r="L7" s="10">
        <v>1651</v>
      </c>
      <c r="M7" s="10"/>
      <c r="N7" s="10">
        <v>208</v>
      </c>
      <c r="O7" s="10">
        <v>200</v>
      </c>
      <c r="P7" s="10">
        <v>1002</v>
      </c>
      <c r="Q7" s="10">
        <v>1000</v>
      </c>
      <c r="R7" s="10">
        <v>1004</v>
      </c>
      <c r="S7" s="10">
        <v>1006</v>
      </c>
      <c r="T7" s="10">
        <v>1006</v>
      </c>
      <c r="U7" s="10">
        <v>1007</v>
      </c>
      <c r="V7" s="10">
        <v>405</v>
      </c>
      <c r="W7" s="10"/>
      <c r="X7" s="10">
        <v>2650</v>
      </c>
      <c r="Y7" s="10">
        <v>4188</v>
      </c>
    </row>
    <row r="8" spans="2:25" ht="30" customHeight="1" x14ac:dyDescent="0.35">
      <c r="B8" s="11" t="s">
        <v>20</v>
      </c>
      <c r="C8" s="11">
        <v>6838</v>
      </c>
      <c r="D8" s="11">
        <v>3309</v>
      </c>
      <c r="E8" s="11">
        <v>3515</v>
      </c>
      <c r="F8" s="11"/>
      <c r="G8" s="11">
        <v>645</v>
      </c>
      <c r="H8" s="11">
        <v>1026</v>
      </c>
      <c r="I8" s="11">
        <v>1111</v>
      </c>
      <c r="J8" s="11">
        <v>1184</v>
      </c>
      <c r="K8" s="11">
        <v>1140</v>
      </c>
      <c r="L8" s="11">
        <v>1732</v>
      </c>
      <c r="M8" s="11"/>
      <c r="N8" s="11">
        <v>208</v>
      </c>
      <c r="O8" s="11">
        <v>200</v>
      </c>
      <c r="P8" s="11">
        <v>1002</v>
      </c>
      <c r="Q8" s="11">
        <v>1000</v>
      </c>
      <c r="R8" s="11">
        <v>1004</v>
      </c>
      <c r="S8" s="11">
        <v>1006</v>
      </c>
      <c r="T8" s="11">
        <v>1006</v>
      </c>
      <c r="U8" s="11">
        <v>1007</v>
      </c>
      <c r="V8" s="11">
        <v>405</v>
      </c>
      <c r="W8" s="11"/>
      <c r="X8" s="11">
        <v>2436</v>
      </c>
      <c r="Y8" s="11">
        <v>4402</v>
      </c>
    </row>
    <row r="9" spans="2:25" ht="29" x14ac:dyDescent="0.35">
      <c r="B9" s="18" t="s">
        <v>449</v>
      </c>
      <c r="C9" s="17">
        <v>0.112031527054776</v>
      </c>
      <c r="D9" s="17">
        <v>0.15400834699437099</v>
      </c>
      <c r="E9" s="17">
        <v>7.1569004555690596E-2</v>
      </c>
      <c r="F9" s="17"/>
      <c r="G9" s="17">
        <v>0.25173775843914797</v>
      </c>
      <c r="H9" s="17">
        <v>0.189714382471322</v>
      </c>
      <c r="I9" s="17">
        <v>0.158487947432495</v>
      </c>
      <c r="J9" s="17">
        <v>9.5177349516663304E-2</v>
      </c>
      <c r="K9" s="17">
        <v>6.5934985255152206E-2</v>
      </c>
      <c r="L9" s="17">
        <v>2.6112551483535799E-2</v>
      </c>
      <c r="M9" s="17"/>
      <c r="N9" s="17">
        <v>0.118768841179762</v>
      </c>
      <c r="O9" s="17">
        <v>5.5214975499198203E-2</v>
      </c>
      <c r="P9" s="17">
        <v>0.10698918009303</v>
      </c>
      <c r="Q9" s="17">
        <v>9.6370716899801701E-2</v>
      </c>
      <c r="R9" s="17">
        <v>0.110288908167353</v>
      </c>
      <c r="S9" s="17">
        <v>6.6810412962647794E-2</v>
      </c>
      <c r="T9" s="17">
        <v>0.119567647451394</v>
      </c>
      <c r="U9" s="17">
        <v>0.16091665692426399</v>
      </c>
      <c r="V9" s="17">
        <v>0.164151423414889</v>
      </c>
      <c r="W9" s="17"/>
      <c r="X9" s="17">
        <v>0.15113118593045899</v>
      </c>
      <c r="Y9" s="17">
        <v>9.0395084658841204E-2</v>
      </c>
    </row>
    <row r="10" spans="2:25" ht="29" x14ac:dyDescent="0.35">
      <c r="B10" s="18" t="s">
        <v>450</v>
      </c>
      <c r="C10" s="17">
        <v>0.29109376828953498</v>
      </c>
      <c r="D10" s="17">
        <v>0.33417063679632503</v>
      </c>
      <c r="E10" s="17">
        <v>0.25022756781349098</v>
      </c>
      <c r="F10" s="17"/>
      <c r="G10" s="17">
        <v>0.389436011388065</v>
      </c>
      <c r="H10" s="17">
        <v>0.40197610377496401</v>
      </c>
      <c r="I10" s="17">
        <v>0.365815986560377</v>
      </c>
      <c r="J10" s="17">
        <v>0.31100898615327699</v>
      </c>
      <c r="K10" s="17">
        <v>0.23130359972013601</v>
      </c>
      <c r="L10" s="17">
        <v>0.16667058177397001</v>
      </c>
      <c r="M10" s="17"/>
      <c r="N10" s="17">
        <v>0.23092346109450701</v>
      </c>
      <c r="O10" s="17">
        <v>0.31227787440598698</v>
      </c>
      <c r="P10" s="17">
        <v>0.28086772104066898</v>
      </c>
      <c r="Q10" s="17">
        <v>0.28188269455791798</v>
      </c>
      <c r="R10" s="17">
        <v>0.29023522815917902</v>
      </c>
      <c r="S10" s="17">
        <v>0.20951211655865601</v>
      </c>
      <c r="T10" s="17">
        <v>0.30858649033180202</v>
      </c>
      <c r="U10" s="17">
        <v>0.37781821191227399</v>
      </c>
      <c r="V10" s="17">
        <v>0.30526685119762398</v>
      </c>
      <c r="W10" s="17"/>
      <c r="X10" s="17">
        <v>0.35433375984527099</v>
      </c>
      <c r="Y10" s="17">
        <v>0.25609887386435298</v>
      </c>
    </row>
    <row r="11" spans="2:25" ht="29" x14ac:dyDescent="0.35">
      <c r="B11" s="18" t="s">
        <v>451</v>
      </c>
      <c r="C11" s="17">
        <v>0.384285229235585</v>
      </c>
      <c r="D11" s="17">
        <v>0.35133888205238201</v>
      </c>
      <c r="E11" s="17">
        <v>0.41628072115333897</v>
      </c>
      <c r="F11" s="17"/>
      <c r="G11" s="17">
        <v>0.22019262336554599</v>
      </c>
      <c r="H11" s="17">
        <v>0.26395349080356201</v>
      </c>
      <c r="I11" s="17">
        <v>0.33004827825653998</v>
      </c>
      <c r="J11" s="17">
        <v>0.39756406728666299</v>
      </c>
      <c r="K11" s="17">
        <v>0.467821256236711</v>
      </c>
      <c r="L11" s="17">
        <v>0.48731766433004198</v>
      </c>
      <c r="M11" s="17"/>
      <c r="N11" s="17">
        <v>0.23775342249644099</v>
      </c>
      <c r="O11" s="17">
        <v>0.31742813642144102</v>
      </c>
      <c r="P11" s="17">
        <v>0.48206106480877398</v>
      </c>
      <c r="Q11" s="17">
        <v>0.39838055786322202</v>
      </c>
      <c r="R11" s="17">
        <v>0.477039336451062</v>
      </c>
      <c r="S11" s="17">
        <v>0.41450156596232002</v>
      </c>
      <c r="T11" s="17">
        <v>0.30112329079351102</v>
      </c>
      <c r="U11" s="17">
        <v>0.28072434977740901</v>
      </c>
      <c r="V11" s="17">
        <v>0.37492047809552198</v>
      </c>
      <c r="W11" s="17"/>
      <c r="X11" s="17">
        <v>0.34520823388770899</v>
      </c>
      <c r="Y11" s="17">
        <v>0.405909130393873</v>
      </c>
    </row>
    <row r="12" spans="2:25" x14ac:dyDescent="0.35">
      <c r="B12" s="18" t="s">
        <v>434</v>
      </c>
      <c r="C12" s="19">
        <v>0.21258947542010401</v>
      </c>
      <c r="D12" s="19">
        <v>0.160482134156921</v>
      </c>
      <c r="E12" s="19">
        <v>0.26192270647748001</v>
      </c>
      <c r="F12" s="19"/>
      <c r="G12" s="19">
        <v>0.13863360680724099</v>
      </c>
      <c r="H12" s="19">
        <v>0.14435602295015099</v>
      </c>
      <c r="I12" s="19">
        <v>0.14564778775058801</v>
      </c>
      <c r="J12" s="19">
        <v>0.19624959704339601</v>
      </c>
      <c r="K12" s="19">
        <v>0.23494015878800101</v>
      </c>
      <c r="L12" s="19">
        <v>0.31989920241245201</v>
      </c>
      <c r="M12" s="19"/>
      <c r="N12" s="19">
        <v>0.41255427522929</v>
      </c>
      <c r="O12" s="19">
        <v>0.31507901367337399</v>
      </c>
      <c r="P12" s="19">
        <v>0.130082034057526</v>
      </c>
      <c r="Q12" s="19">
        <v>0.223366030679058</v>
      </c>
      <c r="R12" s="19">
        <v>0.122436527222407</v>
      </c>
      <c r="S12" s="19">
        <v>0.309175904516377</v>
      </c>
      <c r="T12" s="19">
        <v>0.27072257142329298</v>
      </c>
      <c r="U12" s="19">
        <v>0.18054078138605301</v>
      </c>
      <c r="V12" s="19">
        <v>0.15566124729196501</v>
      </c>
      <c r="W12" s="19"/>
      <c r="X12" s="19">
        <v>0.149326820336561</v>
      </c>
      <c r="Y12" s="19">
        <v>0.247596911082933</v>
      </c>
    </row>
    <row r="13" spans="2:25" x14ac:dyDescent="0.35">
      <c r="B13" s="16"/>
    </row>
    <row r="14" spans="2:25" x14ac:dyDescent="0.35">
      <c r="B14" t="s">
        <v>51</v>
      </c>
    </row>
    <row r="15" spans="2:25" x14ac:dyDescent="0.35">
      <c r="B15" t="s">
        <v>52</v>
      </c>
    </row>
    <row r="17" spans="2:2" x14ac:dyDescent="0.35">
      <c r="B17" s="8" t="str">
        <f>HYPERLINK("#'Contents'!A1", "Return to Contents")</f>
        <v>Return to Contents</v>
      </c>
    </row>
  </sheetData>
  <mergeCells count="5">
    <mergeCell ref="D5:E5"/>
    <mergeCell ref="G5:L5"/>
    <mergeCell ref="N5:V5"/>
    <mergeCell ref="X5:Y5"/>
    <mergeCell ref="D2:W2"/>
  </mergeCells>
  <pageMargins left="0.7" right="0.7" top="0.75" bottom="0.75" header="0.3" footer="0.3"/>
  <pageSetup paperSize="9" orientation="portrait" horizontalDpi="300" verticalDpi="300"/>
  <drawing r:id="rId1"/>
</worksheet>
</file>

<file path=xl/worksheets/sheet1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000-000000000000}">
  <dimension ref="B2:Y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s>
  <sheetData>
    <row r="2" spans="2:25" ht="40" customHeight="1" x14ac:dyDescent="0.35">
      <c r="D2" s="30" t="s">
        <v>459</v>
      </c>
      <c r="E2" s="26"/>
      <c r="F2" s="26"/>
      <c r="G2" s="26"/>
      <c r="H2" s="26"/>
      <c r="I2" s="26"/>
      <c r="J2" s="26"/>
      <c r="K2" s="26"/>
      <c r="L2" s="26"/>
      <c r="M2" s="26"/>
      <c r="N2" s="26"/>
      <c r="O2" s="26"/>
      <c r="P2" s="26"/>
      <c r="Q2" s="26"/>
      <c r="R2" s="26"/>
      <c r="S2" s="26"/>
      <c r="T2" s="26"/>
      <c r="U2" s="26"/>
      <c r="V2" s="26"/>
      <c r="W2" s="26"/>
    </row>
    <row r="5" spans="2:25" ht="30" customHeight="1" x14ac:dyDescent="0.35">
      <c r="B5" s="15"/>
      <c r="C5" s="15"/>
      <c r="D5" s="29" t="s">
        <v>38</v>
      </c>
      <c r="E5" s="29"/>
      <c r="F5" s="15"/>
      <c r="G5" s="29" t="s">
        <v>39</v>
      </c>
      <c r="H5" s="29"/>
      <c r="I5" s="29"/>
      <c r="J5" s="29"/>
      <c r="K5" s="29"/>
      <c r="L5" s="29"/>
      <c r="M5" s="15"/>
      <c r="N5" s="29" t="s">
        <v>40</v>
      </c>
      <c r="O5" s="29"/>
      <c r="P5" s="29"/>
      <c r="Q5" s="29"/>
      <c r="R5" s="29"/>
      <c r="S5" s="29"/>
      <c r="T5" s="29"/>
      <c r="U5" s="29"/>
      <c r="V5" s="29"/>
      <c r="W5" s="15"/>
      <c r="X5" s="29" t="s">
        <v>41</v>
      </c>
      <c r="Y5" s="29"/>
    </row>
    <row r="6" spans="2:25" ht="29"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row>
    <row r="7" spans="2:25" ht="30" customHeight="1" x14ac:dyDescent="0.35">
      <c r="B7" s="10" t="s">
        <v>19</v>
      </c>
      <c r="C7" s="10">
        <v>6838</v>
      </c>
      <c r="D7" s="10">
        <v>3283</v>
      </c>
      <c r="E7" s="10">
        <v>3541</v>
      </c>
      <c r="F7" s="10"/>
      <c r="G7" s="10">
        <v>635</v>
      </c>
      <c r="H7" s="10">
        <v>1075</v>
      </c>
      <c r="I7" s="10">
        <v>1093</v>
      </c>
      <c r="J7" s="10">
        <v>1228</v>
      </c>
      <c r="K7" s="10">
        <v>1156</v>
      </c>
      <c r="L7" s="10">
        <v>1651</v>
      </c>
      <c r="M7" s="10"/>
      <c r="N7" s="10">
        <v>208</v>
      </c>
      <c r="O7" s="10">
        <v>200</v>
      </c>
      <c r="P7" s="10">
        <v>1002</v>
      </c>
      <c r="Q7" s="10">
        <v>1000</v>
      </c>
      <c r="R7" s="10">
        <v>1004</v>
      </c>
      <c r="S7" s="10">
        <v>1006</v>
      </c>
      <c r="T7" s="10">
        <v>1006</v>
      </c>
      <c r="U7" s="10">
        <v>1007</v>
      </c>
      <c r="V7" s="10">
        <v>405</v>
      </c>
      <c r="W7" s="10"/>
      <c r="X7" s="10">
        <v>2650</v>
      </c>
      <c r="Y7" s="10">
        <v>4188</v>
      </c>
    </row>
    <row r="8" spans="2:25" ht="30" customHeight="1" x14ac:dyDescent="0.35">
      <c r="B8" s="11" t="s">
        <v>20</v>
      </c>
      <c r="C8" s="11">
        <v>6838</v>
      </c>
      <c r="D8" s="11">
        <v>3309</v>
      </c>
      <c r="E8" s="11">
        <v>3515</v>
      </c>
      <c r="F8" s="11"/>
      <c r="G8" s="11">
        <v>645</v>
      </c>
      <c r="H8" s="11">
        <v>1026</v>
      </c>
      <c r="I8" s="11">
        <v>1111</v>
      </c>
      <c r="J8" s="11">
        <v>1184</v>
      </c>
      <c r="K8" s="11">
        <v>1140</v>
      </c>
      <c r="L8" s="11">
        <v>1732</v>
      </c>
      <c r="M8" s="11"/>
      <c r="N8" s="11">
        <v>208</v>
      </c>
      <c r="O8" s="11">
        <v>200</v>
      </c>
      <c r="P8" s="11">
        <v>1002</v>
      </c>
      <c r="Q8" s="11">
        <v>1000</v>
      </c>
      <c r="R8" s="11">
        <v>1004</v>
      </c>
      <c r="S8" s="11">
        <v>1006</v>
      </c>
      <c r="T8" s="11">
        <v>1006</v>
      </c>
      <c r="U8" s="11">
        <v>1007</v>
      </c>
      <c r="V8" s="11">
        <v>405</v>
      </c>
      <c r="W8" s="11"/>
      <c r="X8" s="11">
        <v>2436</v>
      </c>
      <c r="Y8" s="11">
        <v>4402</v>
      </c>
    </row>
    <row r="9" spans="2:25" ht="29" x14ac:dyDescent="0.35">
      <c r="B9" s="18" t="s">
        <v>449</v>
      </c>
      <c r="C9" s="17">
        <v>9.3918297891739499E-2</v>
      </c>
      <c r="D9" s="17">
        <v>0.12463269119998401</v>
      </c>
      <c r="E9" s="17">
        <v>6.4561450912145102E-2</v>
      </c>
      <c r="F9" s="17"/>
      <c r="G9" s="17">
        <v>0.18886240276637201</v>
      </c>
      <c r="H9" s="17">
        <v>0.15495100775926901</v>
      </c>
      <c r="I9" s="17">
        <v>0.132122796499582</v>
      </c>
      <c r="J9" s="17">
        <v>8.3432134500709298E-2</v>
      </c>
      <c r="K9" s="17">
        <v>6.0007035142831198E-2</v>
      </c>
      <c r="L9" s="17">
        <v>2.74350922698633E-2</v>
      </c>
      <c r="M9" s="17"/>
      <c r="N9" s="17">
        <v>0.12962085103214699</v>
      </c>
      <c r="O9" s="17">
        <v>9.16475247198585E-2</v>
      </c>
      <c r="P9" s="17">
        <v>7.6158352706933594E-2</v>
      </c>
      <c r="Q9" s="17">
        <v>8.5586332610855798E-2</v>
      </c>
      <c r="R9" s="17">
        <v>6.2552106516553005E-2</v>
      </c>
      <c r="S9" s="17">
        <v>6.6256788425477803E-2</v>
      </c>
      <c r="T9" s="17">
        <v>0.134634923619879</v>
      </c>
      <c r="U9" s="17">
        <v>0.124341126258056</v>
      </c>
      <c r="V9" s="17">
        <v>0.110900705184551</v>
      </c>
      <c r="W9" s="17"/>
      <c r="X9" s="17">
        <v>0.13455520705024199</v>
      </c>
      <c r="Y9" s="17">
        <v>7.1431192647360101E-2</v>
      </c>
    </row>
    <row r="10" spans="2:25" ht="29" x14ac:dyDescent="0.35">
      <c r="B10" s="18" t="s">
        <v>450</v>
      </c>
      <c r="C10" s="17">
        <v>0.286540964773837</v>
      </c>
      <c r="D10" s="17">
        <v>0.33144567217571602</v>
      </c>
      <c r="E10" s="17">
        <v>0.24397696186291501</v>
      </c>
      <c r="F10" s="17"/>
      <c r="G10" s="17">
        <v>0.38063227383057202</v>
      </c>
      <c r="H10" s="17">
        <v>0.377019635789623</v>
      </c>
      <c r="I10" s="17">
        <v>0.35039105176003599</v>
      </c>
      <c r="J10" s="17">
        <v>0.30427181360007499</v>
      </c>
      <c r="K10" s="17">
        <v>0.23276882243785799</v>
      </c>
      <c r="L10" s="17">
        <v>0.18028387540183</v>
      </c>
      <c r="M10" s="17"/>
      <c r="N10" s="17">
        <v>0.31811438894270899</v>
      </c>
      <c r="O10" s="17">
        <v>0.40527847026834402</v>
      </c>
      <c r="P10" s="17">
        <v>0.20225451203741801</v>
      </c>
      <c r="Q10" s="17">
        <v>0.34342127933053901</v>
      </c>
      <c r="R10" s="17">
        <v>0.26661647436720098</v>
      </c>
      <c r="S10" s="17">
        <v>0.193099527404969</v>
      </c>
      <c r="T10" s="17">
        <v>0.33452148584355001</v>
      </c>
      <c r="U10" s="17">
        <v>0.35769151376202402</v>
      </c>
      <c r="V10" s="17">
        <v>0.265180977349809</v>
      </c>
      <c r="W10" s="17"/>
      <c r="X10" s="17">
        <v>0.33998119865430498</v>
      </c>
      <c r="Y10" s="17">
        <v>0.25696892820808598</v>
      </c>
    </row>
    <row r="11" spans="2:25" ht="29" x14ac:dyDescent="0.35">
      <c r="B11" s="18" t="s">
        <v>451</v>
      </c>
      <c r="C11" s="17">
        <v>0.43797340538069501</v>
      </c>
      <c r="D11" s="17">
        <v>0.40236320306658002</v>
      </c>
      <c r="E11" s="17">
        <v>0.471503329063098</v>
      </c>
      <c r="F11" s="17"/>
      <c r="G11" s="17">
        <v>0.29874801836310599</v>
      </c>
      <c r="H11" s="17">
        <v>0.35511304125386201</v>
      </c>
      <c r="I11" s="17">
        <v>0.39518087053675299</v>
      </c>
      <c r="J11" s="17">
        <v>0.46014474679926898</v>
      </c>
      <c r="K11" s="17">
        <v>0.49669983729864498</v>
      </c>
      <c r="L11" s="17">
        <v>0.51248151715883905</v>
      </c>
      <c r="M11" s="17"/>
      <c r="N11" s="17">
        <v>0.300094062431838</v>
      </c>
      <c r="O11" s="17">
        <v>0.35971461016830503</v>
      </c>
      <c r="P11" s="17">
        <v>0.488902878225214</v>
      </c>
      <c r="Q11" s="17">
        <v>0.452237358411127</v>
      </c>
      <c r="R11" s="17">
        <v>0.52875329610630495</v>
      </c>
      <c r="S11" s="17">
        <v>0.56184633040724596</v>
      </c>
      <c r="T11" s="17">
        <v>0.348658135655732</v>
      </c>
      <c r="U11" s="17">
        <v>0.31187922621745601</v>
      </c>
      <c r="V11" s="17">
        <v>0.388847984271251</v>
      </c>
      <c r="W11" s="17"/>
      <c r="X11" s="17">
        <v>0.40430330907741902</v>
      </c>
      <c r="Y11" s="17">
        <v>0.45660530959877799</v>
      </c>
    </row>
    <row r="12" spans="2:25" x14ac:dyDescent="0.35">
      <c r="B12" s="18" t="s">
        <v>434</v>
      </c>
      <c r="C12" s="19">
        <v>0.18156733195372901</v>
      </c>
      <c r="D12" s="19">
        <v>0.14155843355771999</v>
      </c>
      <c r="E12" s="19">
        <v>0.219958258161842</v>
      </c>
      <c r="F12" s="19"/>
      <c r="G12" s="19">
        <v>0.13175730503995001</v>
      </c>
      <c r="H12" s="19">
        <v>0.112916315197246</v>
      </c>
      <c r="I12" s="19">
        <v>0.12230528120362801</v>
      </c>
      <c r="J12" s="19">
        <v>0.15215130509994701</v>
      </c>
      <c r="K12" s="19">
        <v>0.210524305120666</v>
      </c>
      <c r="L12" s="19">
        <v>0.27979951516946699</v>
      </c>
      <c r="M12" s="19"/>
      <c r="N12" s="19">
        <v>0.25217069759330601</v>
      </c>
      <c r="O12" s="19">
        <v>0.143359394843493</v>
      </c>
      <c r="P12" s="19">
        <v>0.23268425703043399</v>
      </c>
      <c r="Q12" s="19">
        <v>0.118755029647478</v>
      </c>
      <c r="R12" s="19">
        <v>0.14207812300994099</v>
      </c>
      <c r="S12" s="19">
        <v>0.17879735376230799</v>
      </c>
      <c r="T12" s="19">
        <v>0.18218545488083901</v>
      </c>
      <c r="U12" s="19">
        <v>0.20608813376246499</v>
      </c>
      <c r="V12" s="19">
        <v>0.235070333194388</v>
      </c>
      <c r="W12" s="19"/>
      <c r="X12" s="19">
        <v>0.121160285218033</v>
      </c>
      <c r="Y12" s="19">
        <v>0.214994569545776</v>
      </c>
    </row>
    <row r="13" spans="2:25" x14ac:dyDescent="0.35">
      <c r="B13" s="16"/>
    </row>
    <row r="14" spans="2:25" x14ac:dyDescent="0.35">
      <c r="B14" t="s">
        <v>51</v>
      </c>
    </row>
    <row r="15" spans="2:25" x14ac:dyDescent="0.35">
      <c r="B15" t="s">
        <v>52</v>
      </c>
    </row>
    <row r="17" spans="2:2" x14ac:dyDescent="0.35">
      <c r="B17" s="8" t="str">
        <f>HYPERLINK("#'Contents'!A1", "Return to Contents")</f>
        <v>Return to Contents</v>
      </c>
    </row>
  </sheetData>
  <mergeCells count="5">
    <mergeCell ref="D5:E5"/>
    <mergeCell ref="G5:L5"/>
    <mergeCell ref="N5:V5"/>
    <mergeCell ref="X5:Y5"/>
    <mergeCell ref="D2:W2"/>
  </mergeCells>
  <pageMargins left="0.7" right="0.7" top="0.75" bottom="0.75" header="0.3" footer="0.3"/>
  <pageSetup paperSize="9" orientation="portrait" horizontalDpi="300" verticalDpi="300"/>
  <drawing r:id="rId1"/>
</worksheet>
</file>

<file path=xl/worksheets/sheet1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100-000000000000}">
  <dimension ref="B2:Y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s>
  <sheetData>
    <row r="2" spans="2:25" ht="40" customHeight="1" x14ac:dyDescent="0.35">
      <c r="D2" s="30" t="s">
        <v>460</v>
      </c>
      <c r="E2" s="26"/>
      <c r="F2" s="26"/>
      <c r="G2" s="26"/>
      <c r="H2" s="26"/>
      <c r="I2" s="26"/>
      <c r="J2" s="26"/>
      <c r="K2" s="26"/>
      <c r="L2" s="26"/>
      <c r="M2" s="26"/>
      <c r="N2" s="26"/>
      <c r="O2" s="26"/>
      <c r="P2" s="26"/>
      <c r="Q2" s="26"/>
      <c r="R2" s="26"/>
      <c r="S2" s="26"/>
      <c r="T2" s="26"/>
      <c r="U2" s="26"/>
      <c r="V2" s="26"/>
      <c r="W2" s="26"/>
    </row>
    <row r="5" spans="2:25" ht="30" customHeight="1" x14ac:dyDescent="0.35">
      <c r="B5" s="15"/>
      <c r="C5" s="15"/>
      <c r="D5" s="29" t="s">
        <v>38</v>
      </c>
      <c r="E5" s="29"/>
      <c r="F5" s="15"/>
      <c r="G5" s="29" t="s">
        <v>39</v>
      </c>
      <c r="H5" s="29"/>
      <c r="I5" s="29"/>
      <c r="J5" s="29"/>
      <c r="K5" s="29"/>
      <c r="L5" s="29"/>
      <c r="M5" s="15"/>
      <c r="N5" s="29" t="s">
        <v>40</v>
      </c>
      <c r="O5" s="29"/>
      <c r="P5" s="29"/>
      <c r="Q5" s="29"/>
      <c r="R5" s="29"/>
      <c r="S5" s="29"/>
      <c r="T5" s="29"/>
      <c r="U5" s="29"/>
      <c r="V5" s="29"/>
      <c r="W5" s="15"/>
      <c r="X5" s="29" t="s">
        <v>41</v>
      </c>
      <c r="Y5" s="29"/>
    </row>
    <row r="6" spans="2:25" ht="29"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row>
    <row r="7" spans="2:25" ht="30" customHeight="1" x14ac:dyDescent="0.35">
      <c r="B7" s="10" t="s">
        <v>19</v>
      </c>
      <c r="C7" s="10">
        <v>6838</v>
      </c>
      <c r="D7" s="10">
        <v>3283</v>
      </c>
      <c r="E7" s="10">
        <v>3541</v>
      </c>
      <c r="F7" s="10"/>
      <c r="G7" s="10">
        <v>635</v>
      </c>
      <c r="H7" s="10">
        <v>1075</v>
      </c>
      <c r="I7" s="10">
        <v>1093</v>
      </c>
      <c r="J7" s="10">
        <v>1228</v>
      </c>
      <c r="K7" s="10">
        <v>1156</v>
      </c>
      <c r="L7" s="10">
        <v>1651</v>
      </c>
      <c r="M7" s="10"/>
      <c r="N7" s="10">
        <v>208</v>
      </c>
      <c r="O7" s="10">
        <v>200</v>
      </c>
      <c r="P7" s="10">
        <v>1002</v>
      </c>
      <c r="Q7" s="10">
        <v>1000</v>
      </c>
      <c r="R7" s="10">
        <v>1004</v>
      </c>
      <c r="S7" s="10">
        <v>1006</v>
      </c>
      <c r="T7" s="10">
        <v>1006</v>
      </c>
      <c r="U7" s="10">
        <v>1007</v>
      </c>
      <c r="V7" s="10">
        <v>405</v>
      </c>
      <c r="W7" s="10"/>
      <c r="X7" s="10">
        <v>2650</v>
      </c>
      <c r="Y7" s="10">
        <v>4188</v>
      </c>
    </row>
    <row r="8" spans="2:25" ht="30" customHeight="1" x14ac:dyDescent="0.35">
      <c r="B8" s="11" t="s">
        <v>20</v>
      </c>
      <c r="C8" s="11">
        <v>6838</v>
      </c>
      <c r="D8" s="11">
        <v>3309</v>
      </c>
      <c r="E8" s="11">
        <v>3515</v>
      </c>
      <c r="F8" s="11"/>
      <c r="G8" s="11">
        <v>645</v>
      </c>
      <c r="H8" s="11">
        <v>1026</v>
      </c>
      <c r="I8" s="11">
        <v>1111</v>
      </c>
      <c r="J8" s="11">
        <v>1184</v>
      </c>
      <c r="K8" s="11">
        <v>1140</v>
      </c>
      <c r="L8" s="11">
        <v>1732</v>
      </c>
      <c r="M8" s="11"/>
      <c r="N8" s="11">
        <v>208</v>
      </c>
      <c r="O8" s="11">
        <v>200</v>
      </c>
      <c r="P8" s="11">
        <v>1002</v>
      </c>
      <c r="Q8" s="11">
        <v>1000</v>
      </c>
      <c r="R8" s="11">
        <v>1004</v>
      </c>
      <c r="S8" s="11">
        <v>1006</v>
      </c>
      <c r="T8" s="11">
        <v>1006</v>
      </c>
      <c r="U8" s="11">
        <v>1007</v>
      </c>
      <c r="V8" s="11">
        <v>405</v>
      </c>
      <c r="W8" s="11"/>
      <c r="X8" s="11">
        <v>2436</v>
      </c>
      <c r="Y8" s="11">
        <v>4402</v>
      </c>
    </row>
    <row r="9" spans="2:25" ht="29" x14ac:dyDescent="0.35">
      <c r="B9" s="18" t="s">
        <v>449</v>
      </c>
      <c r="C9" s="17">
        <v>9.5991093768635904E-2</v>
      </c>
      <c r="D9" s="17">
        <v>0.12729132365571</v>
      </c>
      <c r="E9" s="17">
        <v>6.6909138547713798E-2</v>
      </c>
      <c r="F9" s="17"/>
      <c r="G9" s="17">
        <v>0.163213304498114</v>
      </c>
      <c r="H9" s="17">
        <v>0.15018593031140201</v>
      </c>
      <c r="I9" s="17">
        <v>0.13150466829107901</v>
      </c>
      <c r="J9" s="17">
        <v>8.3281155303072701E-2</v>
      </c>
      <c r="K9" s="17">
        <v>6.8703986256498706E-2</v>
      </c>
      <c r="L9" s="17">
        <v>4.2757986303368002E-2</v>
      </c>
      <c r="M9" s="17"/>
      <c r="N9" s="17">
        <v>0.106882287011798</v>
      </c>
      <c r="O9" s="17">
        <v>4.5469925627695501E-2</v>
      </c>
      <c r="P9" s="17">
        <v>7.0007230618683899E-2</v>
      </c>
      <c r="Q9" s="17">
        <v>0.109805152739787</v>
      </c>
      <c r="R9" s="17">
        <v>6.3154155041110299E-2</v>
      </c>
      <c r="S9" s="17">
        <v>6.0547466354830999E-2</v>
      </c>
      <c r="T9" s="17">
        <v>0.170006727743648</v>
      </c>
      <c r="U9" s="17">
        <v>0.11046407325718299</v>
      </c>
      <c r="V9" s="17">
        <v>9.5129846547910499E-2</v>
      </c>
      <c r="W9" s="17"/>
      <c r="X9" s="17">
        <v>0.12317528791073799</v>
      </c>
      <c r="Y9" s="17">
        <v>8.0948270696813304E-2</v>
      </c>
    </row>
    <row r="10" spans="2:25" ht="29" x14ac:dyDescent="0.35">
      <c r="B10" s="18" t="s">
        <v>450</v>
      </c>
      <c r="C10" s="17">
        <v>0.290644363382833</v>
      </c>
      <c r="D10" s="17">
        <v>0.327439327159046</v>
      </c>
      <c r="E10" s="17">
        <v>0.25591540201063101</v>
      </c>
      <c r="F10" s="17"/>
      <c r="G10" s="17">
        <v>0.35350764998954698</v>
      </c>
      <c r="H10" s="17">
        <v>0.336590708533066</v>
      </c>
      <c r="I10" s="17">
        <v>0.32102142883743301</v>
      </c>
      <c r="J10" s="17">
        <v>0.29711480128562601</v>
      </c>
      <c r="K10" s="17">
        <v>0.24116022046160501</v>
      </c>
      <c r="L10" s="17">
        <v>0.24871485533861101</v>
      </c>
      <c r="M10" s="17"/>
      <c r="N10" s="17">
        <v>0.259228177710142</v>
      </c>
      <c r="O10" s="17">
        <v>0.36037363413105999</v>
      </c>
      <c r="P10" s="17">
        <v>0.19390476415691399</v>
      </c>
      <c r="Q10" s="17">
        <v>0.328145320327766</v>
      </c>
      <c r="R10" s="17">
        <v>0.24816015599461799</v>
      </c>
      <c r="S10" s="17">
        <v>0.203299126048884</v>
      </c>
      <c r="T10" s="17">
        <v>0.42492311522446402</v>
      </c>
      <c r="U10" s="17">
        <v>0.35999092472139999</v>
      </c>
      <c r="V10" s="17">
        <v>0.235404549320649</v>
      </c>
      <c r="W10" s="17"/>
      <c r="X10" s="17">
        <v>0.34296933774330901</v>
      </c>
      <c r="Y10" s="17">
        <v>0.26168947410313897</v>
      </c>
    </row>
    <row r="11" spans="2:25" ht="29" x14ac:dyDescent="0.35">
      <c r="B11" s="18" t="s">
        <v>451</v>
      </c>
      <c r="C11" s="17">
        <v>0.48932075731823499</v>
      </c>
      <c r="D11" s="17">
        <v>0.45595907474872199</v>
      </c>
      <c r="E11" s="17">
        <v>0.51993717578372101</v>
      </c>
      <c r="F11" s="17"/>
      <c r="G11" s="17">
        <v>0.39723633411414</v>
      </c>
      <c r="H11" s="17">
        <v>0.409746253107164</v>
      </c>
      <c r="I11" s="17">
        <v>0.46213065417737098</v>
      </c>
      <c r="J11" s="17">
        <v>0.49234748910029302</v>
      </c>
      <c r="K11" s="17">
        <v>0.55766632085625401</v>
      </c>
      <c r="L11" s="17">
        <v>0.54108306174566601</v>
      </c>
      <c r="M11" s="17"/>
      <c r="N11" s="17">
        <v>0.46533580662152901</v>
      </c>
      <c r="O11" s="17">
        <v>0.48496975969558498</v>
      </c>
      <c r="P11" s="17">
        <v>0.57094113007845504</v>
      </c>
      <c r="Q11" s="17">
        <v>0.48489259106972599</v>
      </c>
      <c r="R11" s="17">
        <v>0.59743613140524399</v>
      </c>
      <c r="S11" s="17">
        <v>0.60626749190545204</v>
      </c>
      <c r="T11" s="17">
        <v>0.30859237355121999</v>
      </c>
      <c r="U11" s="17">
        <v>0.359759541558341</v>
      </c>
      <c r="V11" s="17">
        <v>0.52534117651317003</v>
      </c>
      <c r="W11" s="17"/>
      <c r="X11" s="17">
        <v>0.45748297825124301</v>
      </c>
      <c r="Y11" s="17">
        <v>0.50693871851292804</v>
      </c>
    </row>
    <row r="12" spans="2:25" x14ac:dyDescent="0.35">
      <c r="B12" s="18" t="s">
        <v>434</v>
      </c>
      <c r="C12" s="19">
        <v>0.12404378553029501</v>
      </c>
      <c r="D12" s="19">
        <v>8.9310274436522299E-2</v>
      </c>
      <c r="E12" s="19">
        <v>0.15723828365793399</v>
      </c>
      <c r="F12" s="19"/>
      <c r="G12" s="19">
        <v>8.6042711398199495E-2</v>
      </c>
      <c r="H12" s="19">
        <v>0.103477108048368</v>
      </c>
      <c r="I12" s="19">
        <v>8.5343248694116997E-2</v>
      </c>
      <c r="J12" s="19">
        <v>0.12725655431100799</v>
      </c>
      <c r="K12" s="19">
        <v>0.132469472425642</v>
      </c>
      <c r="L12" s="19">
        <v>0.16744409661235499</v>
      </c>
      <c r="M12" s="19"/>
      <c r="N12" s="19">
        <v>0.16855372865653101</v>
      </c>
      <c r="O12" s="19">
        <v>0.109186680545659</v>
      </c>
      <c r="P12" s="19">
        <v>0.165146875145947</v>
      </c>
      <c r="Q12" s="19">
        <v>7.7156935862721501E-2</v>
      </c>
      <c r="R12" s="19">
        <v>9.1249557559027403E-2</v>
      </c>
      <c r="S12" s="19">
        <v>0.12988591569083199</v>
      </c>
      <c r="T12" s="19">
        <v>9.6477783480667198E-2</v>
      </c>
      <c r="U12" s="19">
        <v>0.16978546046307599</v>
      </c>
      <c r="V12" s="19">
        <v>0.14412442761827099</v>
      </c>
      <c r="W12" s="19"/>
      <c r="X12" s="19">
        <v>7.6372396094710998E-2</v>
      </c>
      <c r="Y12" s="19">
        <v>0.15042353668712</v>
      </c>
    </row>
    <row r="13" spans="2:25" x14ac:dyDescent="0.35">
      <c r="B13" s="16"/>
    </row>
    <row r="14" spans="2:25" x14ac:dyDescent="0.35">
      <c r="B14" t="s">
        <v>51</v>
      </c>
    </row>
    <row r="15" spans="2:25" x14ac:dyDescent="0.35">
      <c r="B15" t="s">
        <v>52</v>
      </c>
    </row>
    <row r="17" spans="2:2" x14ac:dyDescent="0.35">
      <c r="B17" s="8" t="str">
        <f>HYPERLINK("#'Contents'!A1", "Return to Contents")</f>
        <v>Return to Contents</v>
      </c>
    </row>
  </sheetData>
  <mergeCells count="5">
    <mergeCell ref="D5:E5"/>
    <mergeCell ref="G5:L5"/>
    <mergeCell ref="N5:V5"/>
    <mergeCell ref="X5:Y5"/>
    <mergeCell ref="D2:W2"/>
  </mergeCells>
  <pageMargins left="0.7" right="0.7" top="0.75" bottom="0.75" header="0.3" footer="0.3"/>
  <pageSetup paperSize="9" orientation="portrait" horizontalDpi="300" verticalDpi="300"/>
  <drawing r:id="rId1"/>
</worksheet>
</file>

<file path=xl/worksheets/sheet1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200-000000000000}">
  <dimension ref="B2:Y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s>
  <sheetData>
    <row r="2" spans="2:25" ht="40" customHeight="1" x14ac:dyDescent="0.35">
      <c r="D2" s="30" t="s">
        <v>461</v>
      </c>
      <c r="E2" s="26"/>
      <c r="F2" s="26"/>
      <c r="G2" s="26"/>
      <c r="H2" s="26"/>
      <c r="I2" s="26"/>
      <c r="J2" s="26"/>
      <c r="K2" s="26"/>
      <c r="L2" s="26"/>
      <c r="M2" s="26"/>
      <c r="N2" s="26"/>
      <c r="O2" s="26"/>
      <c r="P2" s="26"/>
      <c r="Q2" s="26"/>
      <c r="R2" s="26"/>
      <c r="S2" s="26"/>
      <c r="T2" s="26"/>
      <c r="U2" s="26"/>
      <c r="V2" s="26"/>
      <c r="W2" s="26"/>
    </row>
    <row r="5" spans="2:25" ht="30" customHeight="1" x14ac:dyDescent="0.35">
      <c r="B5" s="15"/>
      <c r="C5" s="15"/>
      <c r="D5" s="29" t="s">
        <v>38</v>
      </c>
      <c r="E5" s="29"/>
      <c r="F5" s="15"/>
      <c r="G5" s="29" t="s">
        <v>39</v>
      </c>
      <c r="H5" s="29"/>
      <c r="I5" s="29"/>
      <c r="J5" s="29"/>
      <c r="K5" s="29"/>
      <c r="L5" s="29"/>
      <c r="M5" s="15"/>
      <c r="N5" s="29" t="s">
        <v>40</v>
      </c>
      <c r="O5" s="29"/>
      <c r="P5" s="29"/>
      <c r="Q5" s="29"/>
      <c r="R5" s="29"/>
      <c r="S5" s="29"/>
      <c r="T5" s="29"/>
      <c r="U5" s="29"/>
      <c r="V5" s="29"/>
      <c r="W5" s="15"/>
      <c r="X5" s="29" t="s">
        <v>41</v>
      </c>
      <c r="Y5" s="29"/>
    </row>
    <row r="6" spans="2:25" ht="29"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row>
    <row r="7" spans="2:25" ht="30" customHeight="1" x14ac:dyDescent="0.35">
      <c r="B7" s="10" t="s">
        <v>19</v>
      </c>
      <c r="C7" s="10">
        <v>6838</v>
      </c>
      <c r="D7" s="10">
        <v>3283</v>
      </c>
      <c r="E7" s="10">
        <v>3541</v>
      </c>
      <c r="F7" s="10"/>
      <c r="G7" s="10">
        <v>635</v>
      </c>
      <c r="H7" s="10">
        <v>1075</v>
      </c>
      <c r="I7" s="10">
        <v>1093</v>
      </c>
      <c r="J7" s="10">
        <v>1228</v>
      </c>
      <c r="K7" s="10">
        <v>1156</v>
      </c>
      <c r="L7" s="10">
        <v>1651</v>
      </c>
      <c r="M7" s="10"/>
      <c r="N7" s="10">
        <v>208</v>
      </c>
      <c r="O7" s="10">
        <v>200</v>
      </c>
      <c r="P7" s="10">
        <v>1002</v>
      </c>
      <c r="Q7" s="10">
        <v>1000</v>
      </c>
      <c r="R7" s="10">
        <v>1004</v>
      </c>
      <c r="S7" s="10">
        <v>1006</v>
      </c>
      <c r="T7" s="10">
        <v>1006</v>
      </c>
      <c r="U7" s="10">
        <v>1007</v>
      </c>
      <c r="V7" s="10">
        <v>405</v>
      </c>
      <c r="W7" s="10"/>
      <c r="X7" s="10">
        <v>2650</v>
      </c>
      <c r="Y7" s="10">
        <v>4188</v>
      </c>
    </row>
    <row r="8" spans="2:25" ht="30" customHeight="1" x14ac:dyDescent="0.35">
      <c r="B8" s="11" t="s">
        <v>20</v>
      </c>
      <c r="C8" s="11">
        <v>6838</v>
      </c>
      <c r="D8" s="11">
        <v>3309</v>
      </c>
      <c r="E8" s="11">
        <v>3515</v>
      </c>
      <c r="F8" s="11"/>
      <c r="G8" s="11">
        <v>645</v>
      </c>
      <c r="H8" s="11">
        <v>1026</v>
      </c>
      <c r="I8" s="11">
        <v>1111</v>
      </c>
      <c r="J8" s="11">
        <v>1184</v>
      </c>
      <c r="K8" s="11">
        <v>1140</v>
      </c>
      <c r="L8" s="11">
        <v>1732</v>
      </c>
      <c r="M8" s="11"/>
      <c r="N8" s="11">
        <v>208</v>
      </c>
      <c r="O8" s="11">
        <v>200</v>
      </c>
      <c r="P8" s="11">
        <v>1002</v>
      </c>
      <c r="Q8" s="11">
        <v>1000</v>
      </c>
      <c r="R8" s="11">
        <v>1004</v>
      </c>
      <c r="S8" s="11">
        <v>1006</v>
      </c>
      <c r="T8" s="11">
        <v>1006</v>
      </c>
      <c r="U8" s="11">
        <v>1007</v>
      </c>
      <c r="V8" s="11">
        <v>405</v>
      </c>
      <c r="W8" s="11"/>
      <c r="X8" s="11">
        <v>2436</v>
      </c>
      <c r="Y8" s="11">
        <v>4402</v>
      </c>
    </row>
    <row r="9" spans="2:25" ht="29" x14ac:dyDescent="0.35">
      <c r="B9" s="18" t="s">
        <v>449</v>
      </c>
      <c r="C9" s="17">
        <v>0.14675347425537699</v>
      </c>
      <c r="D9" s="17">
        <v>0.17083889326013499</v>
      </c>
      <c r="E9" s="17">
        <v>0.123872707661578</v>
      </c>
      <c r="F9" s="17"/>
      <c r="G9" s="17">
        <v>0.298537189306675</v>
      </c>
      <c r="H9" s="17">
        <v>0.224614085704292</v>
      </c>
      <c r="I9" s="17">
        <v>0.187376360348911</v>
      </c>
      <c r="J9" s="17">
        <v>0.129298265718857</v>
      </c>
      <c r="K9" s="17">
        <v>0.100342819070981</v>
      </c>
      <c r="L9" s="17">
        <v>6.0594079425907901E-2</v>
      </c>
      <c r="M9" s="17"/>
      <c r="N9" s="17">
        <v>0.39653445589414199</v>
      </c>
      <c r="O9" s="17">
        <v>0.165252573622854</v>
      </c>
      <c r="P9" s="17">
        <v>0.10149731299973699</v>
      </c>
      <c r="Q9" s="17">
        <v>0.13464681506116399</v>
      </c>
      <c r="R9" s="17">
        <v>6.8781063515103102E-2</v>
      </c>
      <c r="S9" s="17">
        <v>0.10042769724443</v>
      </c>
      <c r="T9" s="17">
        <v>0.22554533839916299</v>
      </c>
      <c r="U9" s="17">
        <v>0.18271693249719501</v>
      </c>
      <c r="V9" s="17">
        <v>0.17442577794943001</v>
      </c>
      <c r="W9" s="17"/>
      <c r="X9" s="17">
        <v>0.186292934900576</v>
      </c>
      <c r="Y9" s="17">
        <v>0.124873660282159</v>
      </c>
    </row>
    <row r="10" spans="2:25" ht="29" x14ac:dyDescent="0.35">
      <c r="B10" s="18" t="s">
        <v>450</v>
      </c>
      <c r="C10" s="17">
        <v>0.30801308239476</v>
      </c>
      <c r="D10" s="17">
        <v>0.33934061767503798</v>
      </c>
      <c r="E10" s="17">
        <v>0.27793844512276999</v>
      </c>
      <c r="F10" s="17"/>
      <c r="G10" s="17">
        <v>0.37772046093152301</v>
      </c>
      <c r="H10" s="17">
        <v>0.39728535995960101</v>
      </c>
      <c r="I10" s="17">
        <v>0.36056877447700098</v>
      </c>
      <c r="J10" s="17">
        <v>0.32022800437065702</v>
      </c>
      <c r="K10" s="17">
        <v>0.241378254856528</v>
      </c>
      <c r="L10" s="17">
        <v>0.231025152142875</v>
      </c>
      <c r="M10" s="17"/>
      <c r="N10" s="17">
        <v>0.32900921213672901</v>
      </c>
      <c r="O10" s="17">
        <v>0.47565237665007398</v>
      </c>
      <c r="P10" s="17">
        <v>0.24170475560143201</v>
      </c>
      <c r="Q10" s="17">
        <v>0.36122182100105299</v>
      </c>
      <c r="R10" s="17">
        <v>0.25109325792856002</v>
      </c>
      <c r="S10" s="17">
        <v>0.22254392255831401</v>
      </c>
      <c r="T10" s="17">
        <v>0.38705633368602999</v>
      </c>
      <c r="U10" s="17">
        <v>0.34201366802913002</v>
      </c>
      <c r="V10" s="17">
        <v>0.31964401827112998</v>
      </c>
      <c r="W10" s="17"/>
      <c r="X10" s="17">
        <v>0.37226791909120299</v>
      </c>
      <c r="Y10" s="17">
        <v>0.27245660663973797</v>
      </c>
    </row>
    <row r="11" spans="2:25" ht="29" x14ac:dyDescent="0.35">
      <c r="B11" s="18" t="s">
        <v>451</v>
      </c>
      <c r="C11" s="17">
        <v>0.37927581599641103</v>
      </c>
      <c r="D11" s="17">
        <v>0.35266496348131199</v>
      </c>
      <c r="E11" s="17">
        <v>0.40445283949869798</v>
      </c>
      <c r="F11" s="17"/>
      <c r="G11" s="17">
        <v>0.23754551740117699</v>
      </c>
      <c r="H11" s="17">
        <v>0.26832498374152502</v>
      </c>
      <c r="I11" s="17">
        <v>0.332651667758185</v>
      </c>
      <c r="J11" s="17">
        <v>0.40982381964931303</v>
      </c>
      <c r="K11" s="17">
        <v>0.453440942973238</v>
      </c>
      <c r="L11" s="17">
        <v>0.45791682464779798</v>
      </c>
      <c r="M11" s="17"/>
      <c r="N11" s="17">
        <v>0.17561457890512699</v>
      </c>
      <c r="O11" s="17">
        <v>0.26378834763813302</v>
      </c>
      <c r="P11" s="17">
        <v>0.43623327865710199</v>
      </c>
      <c r="Q11" s="17">
        <v>0.394962835073779</v>
      </c>
      <c r="R11" s="17">
        <v>0.441346083545754</v>
      </c>
      <c r="S11" s="17">
        <v>0.57432740728760201</v>
      </c>
      <c r="T11" s="17">
        <v>0.216222508704006</v>
      </c>
      <c r="U11" s="17">
        <v>0.306132107423712</v>
      </c>
      <c r="V11" s="17">
        <v>0.30976353583258598</v>
      </c>
      <c r="W11" s="17"/>
      <c r="X11" s="17">
        <v>0.33505436051569099</v>
      </c>
      <c r="Y11" s="17">
        <v>0.403746489186046</v>
      </c>
    </row>
    <row r="12" spans="2:25" x14ac:dyDescent="0.35">
      <c r="B12" s="18" t="s">
        <v>434</v>
      </c>
      <c r="C12" s="19">
        <v>0.16595762735345199</v>
      </c>
      <c r="D12" s="19">
        <v>0.13715552558351499</v>
      </c>
      <c r="E12" s="19">
        <v>0.19373600771695301</v>
      </c>
      <c r="F12" s="19"/>
      <c r="G12" s="19">
        <v>8.61968323606251E-2</v>
      </c>
      <c r="H12" s="19">
        <v>0.109775570594582</v>
      </c>
      <c r="I12" s="19">
        <v>0.119403197415903</v>
      </c>
      <c r="J12" s="19">
        <v>0.14064991026117299</v>
      </c>
      <c r="K12" s="19">
        <v>0.204837983099253</v>
      </c>
      <c r="L12" s="19">
        <v>0.25046394378341902</v>
      </c>
      <c r="M12" s="19"/>
      <c r="N12" s="19">
        <v>9.8841753064002294E-2</v>
      </c>
      <c r="O12" s="19">
        <v>9.5306702088938502E-2</v>
      </c>
      <c r="P12" s="19">
        <v>0.22056465274172901</v>
      </c>
      <c r="Q12" s="19">
        <v>0.10916852886400299</v>
      </c>
      <c r="R12" s="19">
        <v>0.23877959501058299</v>
      </c>
      <c r="S12" s="19">
        <v>0.10270097290965401</v>
      </c>
      <c r="T12" s="19">
        <v>0.17117581921080099</v>
      </c>
      <c r="U12" s="19">
        <v>0.169137292049963</v>
      </c>
      <c r="V12" s="19">
        <v>0.196166667946854</v>
      </c>
      <c r="W12" s="19"/>
      <c r="X12" s="19">
        <v>0.10638478549253</v>
      </c>
      <c r="Y12" s="19">
        <v>0.19892324389205701</v>
      </c>
    </row>
    <row r="13" spans="2:25" x14ac:dyDescent="0.35">
      <c r="B13" s="16"/>
    </row>
    <row r="14" spans="2:25" x14ac:dyDescent="0.35">
      <c r="B14" t="s">
        <v>51</v>
      </c>
    </row>
    <row r="15" spans="2:25" x14ac:dyDescent="0.35">
      <c r="B15" t="s">
        <v>52</v>
      </c>
    </row>
    <row r="17" spans="2:2" x14ac:dyDescent="0.35">
      <c r="B17" s="8" t="str">
        <f>HYPERLINK("#'Contents'!A1", "Return to Contents")</f>
        <v>Return to Contents</v>
      </c>
    </row>
  </sheetData>
  <mergeCells count="5">
    <mergeCell ref="D5:E5"/>
    <mergeCell ref="G5:L5"/>
    <mergeCell ref="N5:V5"/>
    <mergeCell ref="X5:Y5"/>
    <mergeCell ref="D2:W2"/>
  </mergeCells>
  <pageMargins left="0.7" right="0.7" top="0.75" bottom="0.75" header="0.3" footer="0.3"/>
  <pageSetup paperSize="9" orientation="portrait" horizontalDpi="300" verticalDpi="300"/>
  <drawing r:id="rId1"/>
</worksheet>
</file>

<file path=xl/worksheets/sheet1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300-000000000000}">
  <dimension ref="B2:Y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s>
  <sheetData>
    <row r="2" spans="2:25" ht="40" customHeight="1" x14ac:dyDescent="0.35">
      <c r="D2" s="30" t="s">
        <v>462</v>
      </c>
      <c r="E2" s="26"/>
      <c r="F2" s="26"/>
      <c r="G2" s="26"/>
      <c r="H2" s="26"/>
      <c r="I2" s="26"/>
      <c r="J2" s="26"/>
      <c r="K2" s="26"/>
      <c r="L2" s="26"/>
      <c r="M2" s="26"/>
      <c r="N2" s="26"/>
      <c r="O2" s="26"/>
      <c r="P2" s="26"/>
      <c r="Q2" s="26"/>
      <c r="R2" s="26"/>
      <c r="S2" s="26"/>
      <c r="T2" s="26"/>
      <c r="U2" s="26"/>
      <c r="V2" s="26"/>
      <c r="W2" s="26"/>
    </row>
    <row r="5" spans="2:25" ht="30" customHeight="1" x14ac:dyDescent="0.35">
      <c r="B5" s="15"/>
      <c r="C5" s="15"/>
      <c r="D5" s="29" t="s">
        <v>38</v>
      </c>
      <c r="E5" s="29"/>
      <c r="F5" s="15"/>
      <c r="G5" s="29" t="s">
        <v>39</v>
      </c>
      <c r="H5" s="29"/>
      <c r="I5" s="29"/>
      <c r="J5" s="29"/>
      <c r="K5" s="29"/>
      <c r="L5" s="29"/>
      <c r="M5" s="15"/>
      <c r="N5" s="29" t="s">
        <v>40</v>
      </c>
      <c r="O5" s="29"/>
      <c r="P5" s="29"/>
      <c r="Q5" s="29"/>
      <c r="R5" s="29"/>
      <c r="S5" s="29"/>
      <c r="T5" s="29"/>
      <c r="U5" s="29"/>
      <c r="V5" s="29"/>
      <c r="W5" s="15"/>
      <c r="X5" s="29" t="s">
        <v>41</v>
      </c>
      <c r="Y5" s="29"/>
    </row>
    <row r="6" spans="2:25" ht="29"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row>
    <row r="7" spans="2:25" ht="30" customHeight="1" x14ac:dyDescent="0.35">
      <c r="B7" s="10" t="s">
        <v>19</v>
      </c>
      <c r="C7" s="10">
        <v>6838</v>
      </c>
      <c r="D7" s="10">
        <v>3283</v>
      </c>
      <c r="E7" s="10">
        <v>3541</v>
      </c>
      <c r="F7" s="10"/>
      <c r="G7" s="10">
        <v>635</v>
      </c>
      <c r="H7" s="10">
        <v>1075</v>
      </c>
      <c r="I7" s="10">
        <v>1093</v>
      </c>
      <c r="J7" s="10">
        <v>1228</v>
      </c>
      <c r="K7" s="10">
        <v>1156</v>
      </c>
      <c r="L7" s="10">
        <v>1651</v>
      </c>
      <c r="M7" s="10"/>
      <c r="N7" s="10">
        <v>208</v>
      </c>
      <c r="O7" s="10">
        <v>200</v>
      </c>
      <c r="P7" s="10">
        <v>1002</v>
      </c>
      <c r="Q7" s="10">
        <v>1000</v>
      </c>
      <c r="R7" s="10">
        <v>1004</v>
      </c>
      <c r="S7" s="10">
        <v>1006</v>
      </c>
      <c r="T7" s="10">
        <v>1006</v>
      </c>
      <c r="U7" s="10">
        <v>1007</v>
      </c>
      <c r="V7" s="10">
        <v>405</v>
      </c>
      <c r="W7" s="10"/>
      <c r="X7" s="10">
        <v>2650</v>
      </c>
      <c r="Y7" s="10">
        <v>4188</v>
      </c>
    </row>
    <row r="8" spans="2:25" ht="30" customHeight="1" x14ac:dyDescent="0.35">
      <c r="B8" s="11" t="s">
        <v>20</v>
      </c>
      <c r="C8" s="11">
        <v>6838</v>
      </c>
      <c r="D8" s="11">
        <v>3309</v>
      </c>
      <c r="E8" s="11">
        <v>3515</v>
      </c>
      <c r="F8" s="11"/>
      <c r="G8" s="11">
        <v>645</v>
      </c>
      <c r="H8" s="11">
        <v>1026</v>
      </c>
      <c r="I8" s="11">
        <v>1111</v>
      </c>
      <c r="J8" s="11">
        <v>1184</v>
      </c>
      <c r="K8" s="11">
        <v>1140</v>
      </c>
      <c r="L8" s="11">
        <v>1732</v>
      </c>
      <c r="M8" s="11"/>
      <c r="N8" s="11">
        <v>208</v>
      </c>
      <c r="O8" s="11">
        <v>200</v>
      </c>
      <c r="P8" s="11">
        <v>1002</v>
      </c>
      <c r="Q8" s="11">
        <v>1000</v>
      </c>
      <c r="R8" s="11">
        <v>1004</v>
      </c>
      <c r="S8" s="11">
        <v>1006</v>
      </c>
      <c r="T8" s="11">
        <v>1006</v>
      </c>
      <c r="U8" s="11">
        <v>1007</v>
      </c>
      <c r="V8" s="11">
        <v>405</v>
      </c>
      <c r="W8" s="11"/>
      <c r="X8" s="11">
        <v>2436</v>
      </c>
      <c r="Y8" s="11">
        <v>4402</v>
      </c>
    </row>
    <row r="9" spans="2:25" ht="29" x14ac:dyDescent="0.35">
      <c r="B9" s="18" t="s">
        <v>449</v>
      </c>
      <c r="C9" s="17">
        <v>8.4596626266433106E-2</v>
      </c>
      <c r="D9" s="17">
        <v>0.130067901864164</v>
      </c>
      <c r="E9" s="17">
        <v>4.18472724781511E-2</v>
      </c>
      <c r="F9" s="17"/>
      <c r="G9" s="17">
        <v>0.199526973344339</v>
      </c>
      <c r="H9" s="17">
        <v>0.16588842028053</v>
      </c>
      <c r="I9" s="17">
        <v>0.11814818379797</v>
      </c>
      <c r="J9" s="17">
        <v>7.0549408123620594E-2</v>
      </c>
      <c r="K9" s="17">
        <v>3.2509696956119001E-2</v>
      </c>
      <c r="L9" s="17">
        <v>1.6064193260545701E-2</v>
      </c>
      <c r="M9" s="17"/>
      <c r="N9" s="17">
        <v>0.13947788407709499</v>
      </c>
      <c r="O9" s="17">
        <v>6.4634006692182194E-2</v>
      </c>
      <c r="P9" s="17">
        <v>6.5122196810248695E-2</v>
      </c>
      <c r="Q9" s="17">
        <v>8.4771127353199097E-2</v>
      </c>
      <c r="R9" s="17">
        <v>7.44545729335679E-2</v>
      </c>
      <c r="S9" s="17">
        <v>7.4007027142037496E-2</v>
      </c>
      <c r="T9" s="17">
        <v>0.109022766318086</v>
      </c>
      <c r="U9" s="17">
        <v>8.5313253182904697E-2</v>
      </c>
      <c r="V9" s="17">
        <v>0.103010249938168</v>
      </c>
      <c r="W9" s="17"/>
      <c r="X9" s="17">
        <v>0.115930293925122</v>
      </c>
      <c r="Y9" s="17">
        <v>6.7257623450420301E-2</v>
      </c>
    </row>
    <row r="10" spans="2:25" ht="29" x14ac:dyDescent="0.35">
      <c r="B10" s="18" t="s">
        <v>450</v>
      </c>
      <c r="C10" s="17">
        <v>0.19990768772282499</v>
      </c>
      <c r="D10" s="17">
        <v>0.24545609454375</v>
      </c>
      <c r="E10" s="17">
        <v>0.15691929060080101</v>
      </c>
      <c r="F10" s="17"/>
      <c r="G10" s="17">
        <v>0.32403319580545697</v>
      </c>
      <c r="H10" s="17">
        <v>0.32094368750675201</v>
      </c>
      <c r="I10" s="17">
        <v>0.29505636940373797</v>
      </c>
      <c r="J10" s="17">
        <v>0.198704002285676</v>
      </c>
      <c r="K10" s="17">
        <v>0.118657034037946</v>
      </c>
      <c r="L10" s="17">
        <v>7.5333205125339295E-2</v>
      </c>
      <c r="M10" s="17"/>
      <c r="N10" s="17">
        <v>0.142161920374306</v>
      </c>
      <c r="O10" s="17">
        <v>0.29039014409776098</v>
      </c>
      <c r="P10" s="17">
        <v>0.14107546886382699</v>
      </c>
      <c r="Q10" s="17">
        <v>0.188455208619316</v>
      </c>
      <c r="R10" s="17">
        <v>0.188519211337901</v>
      </c>
      <c r="S10" s="17">
        <v>0.17823451501319501</v>
      </c>
      <c r="T10" s="17">
        <v>0.27546982543715698</v>
      </c>
      <c r="U10" s="17">
        <v>0.230311813006322</v>
      </c>
      <c r="V10" s="17">
        <v>0.17749230023883</v>
      </c>
      <c r="W10" s="17"/>
      <c r="X10" s="17">
        <v>0.26117367676182202</v>
      </c>
      <c r="Y10" s="17">
        <v>0.16600514021245</v>
      </c>
    </row>
    <row r="11" spans="2:25" ht="29" x14ac:dyDescent="0.35">
      <c r="B11" s="18" t="s">
        <v>451</v>
      </c>
      <c r="C11" s="17">
        <v>0.48475194600986199</v>
      </c>
      <c r="D11" s="17">
        <v>0.45974732929741002</v>
      </c>
      <c r="E11" s="17">
        <v>0.50795740974948</v>
      </c>
      <c r="F11" s="17"/>
      <c r="G11" s="17">
        <v>0.33272034301612502</v>
      </c>
      <c r="H11" s="17">
        <v>0.36568042570485099</v>
      </c>
      <c r="I11" s="17">
        <v>0.41329468872662101</v>
      </c>
      <c r="J11" s="17">
        <v>0.52162187865181298</v>
      </c>
      <c r="K11" s="17">
        <v>0.58513612226664902</v>
      </c>
      <c r="L11" s="17">
        <v>0.56638517079763295</v>
      </c>
      <c r="M11" s="17"/>
      <c r="N11" s="17">
        <v>0.436585281075552</v>
      </c>
      <c r="O11" s="17">
        <v>0.35902432050481897</v>
      </c>
      <c r="P11" s="17">
        <v>0.50729962171897303</v>
      </c>
      <c r="Q11" s="17">
        <v>0.58207055586082901</v>
      </c>
      <c r="R11" s="17">
        <v>0.53642810797057106</v>
      </c>
      <c r="S11" s="17">
        <v>0.51955800199477598</v>
      </c>
      <c r="T11" s="17">
        <v>0.43132006784629601</v>
      </c>
      <c r="U11" s="17">
        <v>0.36715956700820901</v>
      </c>
      <c r="V11" s="17">
        <v>0.48604341922884498</v>
      </c>
      <c r="W11" s="17"/>
      <c r="X11" s="17">
        <v>0.460756823386682</v>
      </c>
      <c r="Y11" s="17">
        <v>0.498030043654411</v>
      </c>
    </row>
    <row r="12" spans="2:25" x14ac:dyDescent="0.35">
      <c r="B12" s="18" t="s">
        <v>434</v>
      </c>
      <c r="C12" s="19">
        <v>0.23074374000087999</v>
      </c>
      <c r="D12" s="19">
        <v>0.164728674294676</v>
      </c>
      <c r="E12" s="19">
        <v>0.29327602717156798</v>
      </c>
      <c r="F12" s="19"/>
      <c r="G12" s="19">
        <v>0.14371948783408001</v>
      </c>
      <c r="H12" s="19">
        <v>0.14748746650786601</v>
      </c>
      <c r="I12" s="19">
        <v>0.17350075807167101</v>
      </c>
      <c r="J12" s="19">
        <v>0.20912471093889001</v>
      </c>
      <c r="K12" s="19">
        <v>0.26369714673928601</v>
      </c>
      <c r="L12" s="19">
        <v>0.34221743081648198</v>
      </c>
      <c r="M12" s="19"/>
      <c r="N12" s="19">
        <v>0.28177491447304698</v>
      </c>
      <c r="O12" s="19">
        <v>0.28595152870523699</v>
      </c>
      <c r="P12" s="19">
        <v>0.28650271260695098</v>
      </c>
      <c r="Q12" s="19">
        <v>0.14470310816665599</v>
      </c>
      <c r="R12" s="19">
        <v>0.20059810775796</v>
      </c>
      <c r="S12" s="19">
        <v>0.22820045584999199</v>
      </c>
      <c r="T12" s="19">
        <v>0.18418734039846099</v>
      </c>
      <c r="U12" s="19">
        <v>0.31721536680256501</v>
      </c>
      <c r="V12" s="19">
        <v>0.23345403059415801</v>
      </c>
      <c r="W12" s="19"/>
      <c r="X12" s="19">
        <v>0.16213920592637401</v>
      </c>
      <c r="Y12" s="19">
        <v>0.26870719268271898</v>
      </c>
    </row>
    <row r="13" spans="2:25" x14ac:dyDescent="0.35">
      <c r="B13" s="16"/>
    </row>
    <row r="14" spans="2:25" x14ac:dyDescent="0.35">
      <c r="B14" t="s">
        <v>51</v>
      </c>
    </row>
    <row r="15" spans="2:25" x14ac:dyDescent="0.35">
      <c r="B15" t="s">
        <v>52</v>
      </c>
    </row>
    <row r="17" spans="2:2" x14ac:dyDescent="0.35">
      <c r="B17" s="8" t="str">
        <f>HYPERLINK("#'Contents'!A1", "Return to Contents")</f>
        <v>Return to Contents</v>
      </c>
    </row>
  </sheetData>
  <mergeCells count="5">
    <mergeCell ref="D5:E5"/>
    <mergeCell ref="G5:L5"/>
    <mergeCell ref="N5:V5"/>
    <mergeCell ref="X5:Y5"/>
    <mergeCell ref="D2:W2"/>
  </mergeCells>
  <pageMargins left="0.7" right="0.7" top="0.75" bottom="0.75" header="0.3" footer="0.3"/>
  <pageSetup paperSize="9" orientation="portrait" horizontalDpi="300" verticalDpi="300"/>
  <drawing r:id="rId1"/>
</worksheet>
</file>

<file path=xl/worksheets/sheet1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400-000000000000}">
  <dimension ref="B2:Y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s>
  <sheetData>
    <row r="2" spans="2:25" ht="40" customHeight="1" x14ac:dyDescent="0.35">
      <c r="D2" s="30" t="s">
        <v>463</v>
      </c>
      <c r="E2" s="26"/>
      <c r="F2" s="26"/>
      <c r="G2" s="26"/>
      <c r="H2" s="26"/>
      <c r="I2" s="26"/>
      <c r="J2" s="26"/>
      <c r="K2" s="26"/>
      <c r="L2" s="26"/>
      <c r="M2" s="26"/>
      <c r="N2" s="26"/>
      <c r="O2" s="26"/>
      <c r="P2" s="26"/>
      <c r="Q2" s="26"/>
      <c r="R2" s="26"/>
      <c r="S2" s="26"/>
      <c r="T2" s="26"/>
      <c r="U2" s="26"/>
      <c r="V2" s="26"/>
      <c r="W2" s="26"/>
    </row>
    <row r="5" spans="2:25" ht="30" customHeight="1" x14ac:dyDescent="0.35">
      <c r="B5" s="15"/>
      <c r="C5" s="15"/>
      <c r="D5" s="29" t="s">
        <v>38</v>
      </c>
      <c r="E5" s="29"/>
      <c r="F5" s="15"/>
      <c r="G5" s="29" t="s">
        <v>39</v>
      </c>
      <c r="H5" s="29"/>
      <c r="I5" s="29"/>
      <c r="J5" s="29"/>
      <c r="K5" s="29"/>
      <c r="L5" s="29"/>
      <c r="M5" s="15"/>
      <c r="N5" s="29" t="s">
        <v>40</v>
      </c>
      <c r="O5" s="29"/>
      <c r="P5" s="29"/>
      <c r="Q5" s="29"/>
      <c r="R5" s="29"/>
      <c r="S5" s="29"/>
      <c r="T5" s="29"/>
      <c r="U5" s="29"/>
      <c r="V5" s="29"/>
      <c r="W5" s="15"/>
      <c r="X5" s="29" t="s">
        <v>41</v>
      </c>
      <c r="Y5" s="29"/>
    </row>
    <row r="6" spans="2:25" ht="29"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row>
    <row r="7" spans="2:25" ht="30" customHeight="1" x14ac:dyDescent="0.35">
      <c r="B7" s="10" t="s">
        <v>19</v>
      </c>
      <c r="C7" s="10">
        <v>6838</v>
      </c>
      <c r="D7" s="10">
        <v>3283</v>
      </c>
      <c r="E7" s="10">
        <v>3541</v>
      </c>
      <c r="F7" s="10"/>
      <c r="G7" s="10">
        <v>635</v>
      </c>
      <c r="H7" s="10">
        <v>1075</v>
      </c>
      <c r="I7" s="10">
        <v>1093</v>
      </c>
      <c r="J7" s="10">
        <v>1228</v>
      </c>
      <c r="K7" s="10">
        <v>1156</v>
      </c>
      <c r="L7" s="10">
        <v>1651</v>
      </c>
      <c r="M7" s="10"/>
      <c r="N7" s="10">
        <v>208</v>
      </c>
      <c r="O7" s="10">
        <v>200</v>
      </c>
      <c r="P7" s="10">
        <v>1002</v>
      </c>
      <c r="Q7" s="10">
        <v>1000</v>
      </c>
      <c r="R7" s="10">
        <v>1004</v>
      </c>
      <c r="S7" s="10">
        <v>1006</v>
      </c>
      <c r="T7" s="10">
        <v>1006</v>
      </c>
      <c r="U7" s="10">
        <v>1007</v>
      </c>
      <c r="V7" s="10">
        <v>405</v>
      </c>
      <c r="W7" s="10"/>
      <c r="X7" s="10">
        <v>2650</v>
      </c>
      <c r="Y7" s="10">
        <v>4188</v>
      </c>
    </row>
    <row r="8" spans="2:25" ht="30" customHeight="1" x14ac:dyDescent="0.35">
      <c r="B8" s="11" t="s">
        <v>20</v>
      </c>
      <c r="C8" s="11">
        <v>6838</v>
      </c>
      <c r="D8" s="11">
        <v>3309</v>
      </c>
      <c r="E8" s="11">
        <v>3515</v>
      </c>
      <c r="F8" s="11"/>
      <c r="G8" s="11">
        <v>645</v>
      </c>
      <c r="H8" s="11">
        <v>1026</v>
      </c>
      <c r="I8" s="11">
        <v>1111</v>
      </c>
      <c r="J8" s="11">
        <v>1184</v>
      </c>
      <c r="K8" s="11">
        <v>1140</v>
      </c>
      <c r="L8" s="11">
        <v>1732</v>
      </c>
      <c r="M8" s="11"/>
      <c r="N8" s="11">
        <v>208</v>
      </c>
      <c r="O8" s="11">
        <v>200</v>
      </c>
      <c r="P8" s="11">
        <v>1002</v>
      </c>
      <c r="Q8" s="11">
        <v>1000</v>
      </c>
      <c r="R8" s="11">
        <v>1004</v>
      </c>
      <c r="S8" s="11">
        <v>1006</v>
      </c>
      <c r="T8" s="11">
        <v>1006</v>
      </c>
      <c r="U8" s="11">
        <v>1007</v>
      </c>
      <c r="V8" s="11">
        <v>405</v>
      </c>
      <c r="W8" s="11"/>
      <c r="X8" s="11">
        <v>2436</v>
      </c>
      <c r="Y8" s="11">
        <v>4402</v>
      </c>
    </row>
    <row r="9" spans="2:25" ht="29" x14ac:dyDescent="0.35">
      <c r="B9" s="18" t="s">
        <v>449</v>
      </c>
      <c r="C9" s="17">
        <v>0.184628741187016</v>
      </c>
      <c r="D9" s="17">
        <v>0.20305778607682601</v>
      </c>
      <c r="E9" s="17">
        <v>0.166924413012871</v>
      </c>
      <c r="F9" s="17"/>
      <c r="G9" s="17">
        <v>0.318596465243218</v>
      </c>
      <c r="H9" s="17">
        <v>0.28900821820375699</v>
      </c>
      <c r="I9" s="17">
        <v>0.22763975562406799</v>
      </c>
      <c r="J9" s="17">
        <v>0.15755101232018001</v>
      </c>
      <c r="K9" s="17">
        <v>0.13213380158626001</v>
      </c>
      <c r="L9" s="17">
        <v>9.8449200670146703E-2</v>
      </c>
      <c r="M9" s="17"/>
      <c r="N9" s="17">
        <v>0.25004566134197598</v>
      </c>
      <c r="O9" s="17">
        <v>0.15195389971758999</v>
      </c>
      <c r="P9" s="17">
        <v>0.124101850157858</v>
      </c>
      <c r="Q9" s="17">
        <v>0.18958805141868801</v>
      </c>
      <c r="R9" s="17">
        <v>0.156624601991635</v>
      </c>
      <c r="S9" s="17">
        <v>0.12047958380118599</v>
      </c>
      <c r="T9" s="17">
        <v>0.28230939459193</v>
      </c>
      <c r="U9" s="17">
        <v>0.222470302602605</v>
      </c>
      <c r="V9" s="17">
        <v>0.196712449563957</v>
      </c>
      <c r="W9" s="17"/>
      <c r="X9" s="17">
        <v>0.22648605293839499</v>
      </c>
      <c r="Y9" s="17">
        <v>0.16146630599961601</v>
      </c>
    </row>
    <row r="10" spans="2:25" ht="29" x14ac:dyDescent="0.35">
      <c r="B10" s="18" t="s">
        <v>450</v>
      </c>
      <c r="C10" s="17">
        <v>0.38987934355652598</v>
      </c>
      <c r="D10" s="17">
        <v>0.418655169056104</v>
      </c>
      <c r="E10" s="17">
        <v>0.36227842231107299</v>
      </c>
      <c r="F10" s="17"/>
      <c r="G10" s="17">
        <v>0.40959016423553701</v>
      </c>
      <c r="H10" s="17">
        <v>0.43087309660887102</v>
      </c>
      <c r="I10" s="17">
        <v>0.43641132157718399</v>
      </c>
      <c r="J10" s="17">
        <v>0.41690285034833602</v>
      </c>
      <c r="K10" s="17">
        <v>0.36437804855015399</v>
      </c>
      <c r="L10" s="17">
        <v>0.326747238121598</v>
      </c>
      <c r="M10" s="17"/>
      <c r="N10" s="17">
        <v>0.37981103834181101</v>
      </c>
      <c r="O10" s="17">
        <v>0.54049015457933902</v>
      </c>
      <c r="P10" s="17">
        <v>0.30524915554436399</v>
      </c>
      <c r="Q10" s="17">
        <v>0.424528348750081</v>
      </c>
      <c r="R10" s="17">
        <v>0.40665034525306198</v>
      </c>
      <c r="S10" s="17">
        <v>0.31172608601126101</v>
      </c>
      <c r="T10" s="17">
        <v>0.44863725821582701</v>
      </c>
      <c r="U10" s="17">
        <v>0.421939791463324</v>
      </c>
      <c r="V10" s="17">
        <v>0.37138859459983897</v>
      </c>
      <c r="W10" s="17"/>
      <c r="X10" s="17">
        <v>0.42284078114319001</v>
      </c>
      <c r="Y10" s="17">
        <v>0.37163958735050401</v>
      </c>
    </row>
    <row r="11" spans="2:25" ht="29" x14ac:dyDescent="0.35">
      <c r="B11" s="18" t="s">
        <v>451</v>
      </c>
      <c r="C11" s="17">
        <v>0.35386669998438403</v>
      </c>
      <c r="D11" s="17">
        <v>0.32384282466893</v>
      </c>
      <c r="E11" s="17">
        <v>0.38271114852159099</v>
      </c>
      <c r="F11" s="17"/>
      <c r="G11" s="17">
        <v>0.21690307709277801</v>
      </c>
      <c r="H11" s="17">
        <v>0.22723004756700299</v>
      </c>
      <c r="I11" s="17">
        <v>0.28103605882680199</v>
      </c>
      <c r="J11" s="17">
        <v>0.35722527238106799</v>
      </c>
      <c r="K11" s="17">
        <v>0.42401757836579101</v>
      </c>
      <c r="L11" s="17">
        <v>0.47805192796482099</v>
      </c>
      <c r="M11" s="17"/>
      <c r="N11" s="17">
        <v>0.23845552763691599</v>
      </c>
      <c r="O11" s="17">
        <v>0.288639928809307</v>
      </c>
      <c r="P11" s="17">
        <v>0.47908598450684903</v>
      </c>
      <c r="Q11" s="17">
        <v>0.33297088964857502</v>
      </c>
      <c r="R11" s="17">
        <v>0.39587660219632897</v>
      </c>
      <c r="S11" s="17">
        <v>0.498137555073211</v>
      </c>
      <c r="T11" s="17">
        <v>0.210551073090601</v>
      </c>
      <c r="U11" s="17">
        <v>0.24535058045177199</v>
      </c>
      <c r="V11" s="17">
        <v>0.35044397482863698</v>
      </c>
      <c r="W11" s="17"/>
      <c r="X11" s="17">
        <v>0.31025412083144499</v>
      </c>
      <c r="Y11" s="17">
        <v>0.37800044139581102</v>
      </c>
    </row>
    <row r="12" spans="2:25" x14ac:dyDescent="0.35">
      <c r="B12" s="18" t="s">
        <v>434</v>
      </c>
      <c r="C12" s="19">
        <v>7.1625215272073994E-2</v>
      </c>
      <c r="D12" s="19">
        <v>5.4444220198140401E-2</v>
      </c>
      <c r="E12" s="19">
        <v>8.8086016154464805E-2</v>
      </c>
      <c r="F12" s="19"/>
      <c r="G12" s="19">
        <v>5.4910293428466303E-2</v>
      </c>
      <c r="H12" s="19">
        <v>5.2888637620369897E-2</v>
      </c>
      <c r="I12" s="19">
        <v>5.4912863971946002E-2</v>
      </c>
      <c r="J12" s="19">
        <v>6.83208649504147E-2</v>
      </c>
      <c r="K12" s="19">
        <v>7.9470571497795101E-2</v>
      </c>
      <c r="L12" s="19">
        <v>9.6751633243434804E-2</v>
      </c>
      <c r="M12" s="19"/>
      <c r="N12" s="19">
        <v>0.13168777267929599</v>
      </c>
      <c r="O12" s="19">
        <v>1.89160168937633E-2</v>
      </c>
      <c r="P12" s="19">
        <v>9.1563009790928004E-2</v>
      </c>
      <c r="Q12" s="19">
        <v>5.29127101826561E-2</v>
      </c>
      <c r="R12" s="19">
        <v>4.0848450558974E-2</v>
      </c>
      <c r="S12" s="19">
        <v>6.9656775114342206E-2</v>
      </c>
      <c r="T12" s="19">
        <v>5.8502274101641903E-2</v>
      </c>
      <c r="U12" s="19">
        <v>0.11023932548229901</v>
      </c>
      <c r="V12" s="19">
        <v>8.1454981007566402E-2</v>
      </c>
      <c r="W12" s="19"/>
      <c r="X12" s="19">
        <v>4.0419045086969599E-2</v>
      </c>
      <c r="Y12" s="19">
        <v>8.8893665254068305E-2</v>
      </c>
    </row>
    <row r="13" spans="2:25" x14ac:dyDescent="0.35">
      <c r="B13" s="16"/>
    </row>
    <row r="14" spans="2:25" x14ac:dyDescent="0.35">
      <c r="B14" t="s">
        <v>51</v>
      </c>
    </row>
    <row r="15" spans="2:25" x14ac:dyDescent="0.35">
      <c r="B15" t="s">
        <v>52</v>
      </c>
    </row>
    <row r="17" spans="2:2" x14ac:dyDescent="0.35">
      <c r="B17" s="8" t="str">
        <f>HYPERLINK("#'Contents'!A1", "Return to Contents")</f>
        <v>Return to Contents</v>
      </c>
    </row>
  </sheetData>
  <mergeCells count="5">
    <mergeCell ref="D5:E5"/>
    <mergeCell ref="G5:L5"/>
    <mergeCell ref="N5:V5"/>
    <mergeCell ref="X5:Y5"/>
    <mergeCell ref="D2:W2"/>
  </mergeCells>
  <pageMargins left="0.7" right="0.7" top="0.75" bottom="0.75" header="0.3" footer="0.3"/>
  <pageSetup paperSize="9" orientation="portrait" horizontalDpi="300" verticalDpi="300"/>
  <drawing r:id="rId1"/>
</worksheet>
</file>

<file path=xl/worksheets/sheet1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500-000000000000}">
  <dimension ref="B2:Y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s>
  <sheetData>
    <row r="2" spans="2:25" ht="40" customHeight="1" x14ac:dyDescent="0.35">
      <c r="D2" s="30" t="s">
        <v>464</v>
      </c>
      <c r="E2" s="26"/>
      <c r="F2" s="26"/>
      <c r="G2" s="26"/>
      <c r="H2" s="26"/>
      <c r="I2" s="26"/>
      <c r="J2" s="26"/>
      <c r="K2" s="26"/>
      <c r="L2" s="26"/>
      <c r="M2" s="26"/>
      <c r="N2" s="26"/>
      <c r="O2" s="26"/>
      <c r="P2" s="26"/>
      <c r="Q2" s="26"/>
      <c r="R2" s="26"/>
      <c r="S2" s="26"/>
      <c r="T2" s="26"/>
      <c r="U2" s="26"/>
      <c r="V2" s="26"/>
      <c r="W2" s="26"/>
    </row>
    <row r="5" spans="2:25" ht="30" customHeight="1" x14ac:dyDescent="0.35">
      <c r="B5" s="15"/>
      <c r="C5" s="15"/>
      <c r="D5" s="29" t="s">
        <v>38</v>
      </c>
      <c r="E5" s="29"/>
      <c r="F5" s="15"/>
      <c r="G5" s="29" t="s">
        <v>39</v>
      </c>
      <c r="H5" s="29"/>
      <c r="I5" s="29"/>
      <c r="J5" s="29"/>
      <c r="K5" s="29"/>
      <c r="L5" s="29"/>
      <c r="M5" s="15"/>
      <c r="N5" s="29" t="s">
        <v>40</v>
      </c>
      <c r="O5" s="29"/>
      <c r="P5" s="29"/>
      <c r="Q5" s="29"/>
      <c r="R5" s="29"/>
      <c r="S5" s="29"/>
      <c r="T5" s="29"/>
      <c r="U5" s="29"/>
      <c r="V5" s="29"/>
      <c r="W5" s="15"/>
      <c r="X5" s="29" t="s">
        <v>41</v>
      </c>
      <c r="Y5" s="29"/>
    </row>
    <row r="6" spans="2:25" ht="29"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row>
    <row r="7" spans="2:25" ht="30" customHeight="1" x14ac:dyDescent="0.35">
      <c r="B7" s="10" t="s">
        <v>19</v>
      </c>
      <c r="C7" s="10">
        <v>6838</v>
      </c>
      <c r="D7" s="10">
        <v>3283</v>
      </c>
      <c r="E7" s="10">
        <v>3541</v>
      </c>
      <c r="F7" s="10"/>
      <c r="G7" s="10">
        <v>635</v>
      </c>
      <c r="H7" s="10">
        <v>1075</v>
      </c>
      <c r="I7" s="10">
        <v>1093</v>
      </c>
      <c r="J7" s="10">
        <v>1228</v>
      </c>
      <c r="K7" s="10">
        <v>1156</v>
      </c>
      <c r="L7" s="10">
        <v>1651</v>
      </c>
      <c r="M7" s="10"/>
      <c r="N7" s="10">
        <v>208</v>
      </c>
      <c r="O7" s="10">
        <v>200</v>
      </c>
      <c r="P7" s="10">
        <v>1002</v>
      </c>
      <c r="Q7" s="10">
        <v>1000</v>
      </c>
      <c r="R7" s="10">
        <v>1004</v>
      </c>
      <c r="S7" s="10">
        <v>1006</v>
      </c>
      <c r="T7" s="10">
        <v>1006</v>
      </c>
      <c r="U7" s="10">
        <v>1007</v>
      </c>
      <c r="V7" s="10">
        <v>405</v>
      </c>
      <c r="W7" s="10"/>
      <c r="X7" s="10">
        <v>2650</v>
      </c>
      <c r="Y7" s="10">
        <v>4188</v>
      </c>
    </row>
    <row r="8" spans="2:25" ht="30" customHeight="1" x14ac:dyDescent="0.35">
      <c r="B8" s="11" t="s">
        <v>20</v>
      </c>
      <c r="C8" s="11">
        <v>6838</v>
      </c>
      <c r="D8" s="11">
        <v>3309</v>
      </c>
      <c r="E8" s="11">
        <v>3515</v>
      </c>
      <c r="F8" s="11"/>
      <c r="G8" s="11">
        <v>645</v>
      </c>
      <c r="H8" s="11">
        <v>1026</v>
      </c>
      <c r="I8" s="11">
        <v>1111</v>
      </c>
      <c r="J8" s="11">
        <v>1184</v>
      </c>
      <c r="K8" s="11">
        <v>1140</v>
      </c>
      <c r="L8" s="11">
        <v>1732</v>
      </c>
      <c r="M8" s="11"/>
      <c r="N8" s="11">
        <v>208</v>
      </c>
      <c r="O8" s="11">
        <v>200</v>
      </c>
      <c r="P8" s="11">
        <v>1002</v>
      </c>
      <c r="Q8" s="11">
        <v>1000</v>
      </c>
      <c r="R8" s="11">
        <v>1004</v>
      </c>
      <c r="S8" s="11">
        <v>1006</v>
      </c>
      <c r="T8" s="11">
        <v>1006</v>
      </c>
      <c r="U8" s="11">
        <v>1007</v>
      </c>
      <c r="V8" s="11">
        <v>405</v>
      </c>
      <c r="W8" s="11"/>
      <c r="X8" s="11">
        <v>2436</v>
      </c>
      <c r="Y8" s="11">
        <v>4402</v>
      </c>
    </row>
    <row r="9" spans="2:25" ht="29" x14ac:dyDescent="0.35">
      <c r="B9" s="18" t="s">
        <v>449</v>
      </c>
      <c r="C9" s="17">
        <v>0.119423517994335</v>
      </c>
      <c r="D9" s="17">
        <v>0.15891496115360601</v>
      </c>
      <c r="E9" s="17">
        <v>8.1910705662424907E-2</v>
      </c>
      <c r="F9" s="17"/>
      <c r="G9" s="17">
        <v>0.24322903476007701</v>
      </c>
      <c r="H9" s="17">
        <v>0.192881185949449</v>
      </c>
      <c r="I9" s="17">
        <v>0.150827227023386</v>
      </c>
      <c r="J9" s="17">
        <v>8.09909334198681E-2</v>
      </c>
      <c r="K9" s="17">
        <v>9.8941799633736505E-2</v>
      </c>
      <c r="L9" s="17">
        <v>4.9464199462577997E-2</v>
      </c>
      <c r="M9" s="17"/>
      <c r="N9" s="17">
        <v>0.16678130985720499</v>
      </c>
      <c r="O9" s="17">
        <v>0.16245910574039699</v>
      </c>
      <c r="P9" s="17">
        <v>8.1050683443164198E-2</v>
      </c>
      <c r="Q9" s="17">
        <v>0.111422494282174</v>
      </c>
      <c r="R9" s="17">
        <v>9.3756102245625306E-2</v>
      </c>
      <c r="S9" s="17">
        <v>8.4552818527338994E-2</v>
      </c>
      <c r="T9" s="17">
        <v>0.18798085990125399</v>
      </c>
      <c r="U9" s="17">
        <v>0.13323752274640099</v>
      </c>
      <c r="V9" s="17">
        <v>0.134148668630272</v>
      </c>
      <c r="W9" s="17"/>
      <c r="X9" s="17">
        <v>0.15746921030824501</v>
      </c>
      <c r="Y9" s="17">
        <v>9.8370305413102696E-2</v>
      </c>
    </row>
    <row r="10" spans="2:25" ht="29" x14ac:dyDescent="0.35">
      <c r="B10" s="18" t="s">
        <v>450</v>
      </c>
      <c r="C10" s="17">
        <v>0.32480517522185398</v>
      </c>
      <c r="D10" s="17">
        <v>0.35933247108721</v>
      </c>
      <c r="E10" s="17">
        <v>0.29247329843320002</v>
      </c>
      <c r="F10" s="17"/>
      <c r="G10" s="17">
        <v>0.411584694464528</v>
      </c>
      <c r="H10" s="17">
        <v>0.37104716681343902</v>
      </c>
      <c r="I10" s="17">
        <v>0.364603740293511</v>
      </c>
      <c r="J10" s="17">
        <v>0.33168641515578101</v>
      </c>
      <c r="K10" s="17">
        <v>0.27533135491141603</v>
      </c>
      <c r="L10" s="17">
        <v>0.26746933900574699</v>
      </c>
      <c r="M10" s="17"/>
      <c r="N10" s="17">
        <v>0.34790839819879399</v>
      </c>
      <c r="O10" s="17">
        <v>0.43869750222760001</v>
      </c>
      <c r="P10" s="17">
        <v>0.212807653535835</v>
      </c>
      <c r="Q10" s="17">
        <v>0.33975794710988</v>
      </c>
      <c r="R10" s="17">
        <v>0.29540624795883502</v>
      </c>
      <c r="S10" s="17">
        <v>0.28324973466119602</v>
      </c>
      <c r="T10" s="17">
        <v>0.397219922654587</v>
      </c>
      <c r="U10" s="17">
        <v>0.37463078713166198</v>
      </c>
      <c r="V10" s="17">
        <v>0.36920635578135502</v>
      </c>
      <c r="W10" s="17"/>
      <c r="X10" s="17">
        <v>0.376348956646196</v>
      </c>
      <c r="Y10" s="17">
        <v>0.296282571963285</v>
      </c>
    </row>
    <row r="11" spans="2:25" ht="29" x14ac:dyDescent="0.35">
      <c r="B11" s="18" t="s">
        <v>451</v>
      </c>
      <c r="C11" s="17">
        <v>0.44245148540773199</v>
      </c>
      <c r="D11" s="17">
        <v>0.40177640007446702</v>
      </c>
      <c r="E11" s="17">
        <v>0.48045299997110502</v>
      </c>
      <c r="F11" s="17"/>
      <c r="G11" s="17">
        <v>0.25971662808797602</v>
      </c>
      <c r="H11" s="17">
        <v>0.35262355566839199</v>
      </c>
      <c r="I11" s="17">
        <v>0.404279884148666</v>
      </c>
      <c r="J11" s="17">
        <v>0.48232807240459902</v>
      </c>
      <c r="K11" s="17">
        <v>0.50007779280389297</v>
      </c>
      <c r="L11" s="17">
        <v>0.52293735046791701</v>
      </c>
      <c r="M11" s="17"/>
      <c r="N11" s="17">
        <v>0.351442094125549</v>
      </c>
      <c r="O11" s="17">
        <v>0.32002552397276901</v>
      </c>
      <c r="P11" s="17">
        <v>0.56814816152077996</v>
      </c>
      <c r="Q11" s="17">
        <v>0.46380305931272098</v>
      </c>
      <c r="R11" s="17">
        <v>0.50904030035063197</v>
      </c>
      <c r="S11" s="17">
        <v>0.53563219380328497</v>
      </c>
      <c r="T11" s="17">
        <v>0.33109513333675</v>
      </c>
      <c r="U11" s="17">
        <v>0.31061826824150301</v>
      </c>
      <c r="V11" s="17">
        <v>0.39381217509816502</v>
      </c>
      <c r="W11" s="17"/>
      <c r="X11" s="17">
        <v>0.39879215859377298</v>
      </c>
      <c r="Y11" s="17">
        <v>0.46661109540993201</v>
      </c>
    </row>
    <row r="12" spans="2:25" x14ac:dyDescent="0.35">
      <c r="B12" s="18" t="s">
        <v>434</v>
      </c>
      <c r="C12" s="19">
        <v>0.11331982137608</v>
      </c>
      <c r="D12" s="19">
        <v>7.9976167684717797E-2</v>
      </c>
      <c r="E12" s="19">
        <v>0.14516299593327101</v>
      </c>
      <c r="F12" s="19"/>
      <c r="G12" s="19">
        <v>8.5469642687419398E-2</v>
      </c>
      <c r="H12" s="19">
        <v>8.3448091568719407E-2</v>
      </c>
      <c r="I12" s="19">
        <v>8.0289148534436999E-2</v>
      </c>
      <c r="J12" s="19">
        <v>0.104994579019752</v>
      </c>
      <c r="K12" s="19">
        <v>0.125649052650954</v>
      </c>
      <c r="L12" s="19">
        <v>0.16012911106375699</v>
      </c>
      <c r="M12" s="19"/>
      <c r="N12" s="19">
        <v>0.13386819781845199</v>
      </c>
      <c r="O12" s="19">
        <v>7.8817868059232798E-2</v>
      </c>
      <c r="P12" s="19">
        <v>0.13799350150022099</v>
      </c>
      <c r="Q12" s="19">
        <v>8.5016499295225104E-2</v>
      </c>
      <c r="R12" s="19">
        <v>0.10179734944490799</v>
      </c>
      <c r="S12" s="19">
        <v>9.6565253008180293E-2</v>
      </c>
      <c r="T12" s="19">
        <v>8.3704084107409205E-2</v>
      </c>
      <c r="U12" s="19">
        <v>0.18151342188043401</v>
      </c>
      <c r="V12" s="19">
        <v>0.102832800490207</v>
      </c>
      <c r="W12" s="19"/>
      <c r="X12" s="19">
        <v>6.7389674451786397E-2</v>
      </c>
      <c r="Y12" s="19">
        <v>0.13873602721368</v>
      </c>
    </row>
    <row r="13" spans="2:25" x14ac:dyDescent="0.35">
      <c r="B13" s="16"/>
    </row>
    <row r="14" spans="2:25" x14ac:dyDescent="0.35">
      <c r="B14" t="s">
        <v>51</v>
      </c>
    </row>
    <row r="15" spans="2:25" x14ac:dyDescent="0.35">
      <c r="B15" t="s">
        <v>52</v>
      </c>
    </row>
    <row r="17" spans="2:2" x14ac:dyDescent="0.35">
      <c r="B17" s="8" t="str">
        <f>HYPERLINK("#'Contents'!A1", "Return to Contents")</f>
        <v>Return to Contents</v>
      </c>
    </row>
  </sheetData>
  <mergeCells count="5">
    <mergeCell ref="D5:E5"/>
    <mergeCell ref="G5:L5"/>
    <mergeCell ref="N5:V5"/>
    <mergeCell ref="X5:Y5"/>
    <mergeCell ref="D2:W2"/>
  </mergeCells>
  <pageMargins left="0.7" right="0.7" top="0.75" bottom="0.75" header="0.3" footer="0.3"/>
  <pageSetup paperSize="9" orientation="portrait" horizontalDpi="300" verticalDpi="300"/>
  <drawing r:id="rId1"/>
</worksheet>
</file>

<file path=xl/worksheets/sheet1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600-000000000000}">
  <dimension ref="B2:Y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s>
  <sheetData>
    <row r="2" spans="2:25" ht="40" customHeight="1" x14ac:dyDescent="0.35">
      <c r="D2" s="30" t="s">
        <v>465</v>
      </c>
      <c r="E2" s="26"/>
      <c r="F2" s="26"/>
      <c r="G2" s="26"/>
      <c r="H2" s="26"/>
      <c r="I2" s="26"/>
      <c r="J2" s="26"/>
      <c r="K2" s="26"/>
      <c r="L2" s="26"/>
      <c r="M2" s="26"/>
      <c r="N2" s="26"/>
      <c r="O2" s="26"/>
      <c r="P2" s="26"/>
      <c r="Q2" s="26"/>
      <c r="R2" s="26"/>
      <c r="S2" s="26"/>
      <c r="T2" s="26"/>
      <c r="U2" s="26"/>
      <c r="V2" s="26"/>
      <c r="W2" s="26"/>
    </row>
    <row r="5" spans="2:25" ht="30" customHeight="1" x14ac:dyDescent="0.35">
      <c r="B5" s="15"/>
      <c r="C5" s="15"/>
      <c r="D5" s="29" t="s">
        <v>38</v>
      </c>
      <c r="E5" s="29"/>
      <c r="F5" s="15"/>
      <c r="G5" s="29" t="s">
        <v>39</v>
      </c>
      <c r="H5" s="29"/>
      <c r="I5" s="29"/>
      <c r="J5" s="29"/>
      <c r="K5" s="29"/>
      <c r="L5" s="29"/>
      <c r="M5" s="15"/>
      <c r="N5" s="29" t="s">
        <v>40</v>
      </c>
      <c r="O5" s="29"/>
      <c r="P5" s="29"/>
      <c r="Q5" s="29"/>
      <c r="R5" s="29"/>
      <c r="S5" s="29"/>
      <c r="T5" s="29"/>
      <c r="U5" s="29"/>
      <c r="V5" s="29"/>
      <c r="W5" s="15"/>
      <c r="X5" s="29" t="s">
        <v>41</v>
      </c>
      <c r="Y5" s="29"/>
    </row>
    <row r="6" spans="2:25" ht="29"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row>
    <row r="7" spans="2:25" ht="30" customHeight="1" x14ac:dyDescent="0.35">
      <c r="B7" s="10" t="s">
        <v>19</v>
      </c>
      <c r="C7" s="10">
        <v>6838</v>
      </c>
      <c r="D7" s="10">
        <v>3283</v>
      </c>
      <c r="E7" s="10">
        <v>3541</v>
      </c>
      <c r="F7" s="10"/>
      <c r="G7" s="10">
        <v>635</v>
      </c>
      <c r="H7" s="10">
        <v>1075</v>
      </c>
      <c r="I7" s="10">
        <v>1093</v>
      </c>
      <c r="J7" s="10">
        <v>1228</v>
      </c>
      <c r="K7" s="10">
        <v>1156</v>
      </c>
      <c r="L7" s="10">
        <v>1651</v>
      </c>
      <c r="M7" s="10"/>
      <c r="N7" s="10">
        <v>208</v>
      </c>
      <c r="O7" s="10">
        <v>200</v>
      </c>
      <c r="P7" s="10">
        <v>1002</v>
      </c>
      <c r="Q7" s="10">
        <v>1000</v>
      </c>
      <c r="R7" s="10">
        <v>1004</v>
      </c>
      <c r="S7" s="10">
        <v>1006</v>
      </c>
      <c r="T7" s="10">
        <v>1006</v>
      </c>
      <c r="U7" s="10">
        <v>1007</v>
      </c>
      <c r="V7" s="10">
        <v>405</v>
      </c>
      <c r="W7" s="10"/>
      <c r="X7" s="10">
        <v>2650</v>
      </c>
      <c r="Y7" s="10">
        <v>4188</v>
      </c>
    </row>
    <row r="8" spans="2:25" ht="30" customHeight="1" x14ac:dyDescent="0.35">
      <c r="B8" s="11" t="s">
        <v>20</v>
      </c>
      <c r="C8" s="11">
        <v>6838</v>
      </c>
      <c r="D8" s="11">
        <v>3309</v>
      </c>
      <c r="E8" s="11">
        <v>3515</v>
      </c>
      <c r="F8" s="11"/>
      <c r="G8" s="11">
        <v>645</v>
      </c>
      <c r="H8" s="11">
        <v>1026</v>
      </c>
      <c r="I8" s="11">
        <v>1111</v>
      </c>
      <c r="J8" s="11">
        <v>1184</v>
      </c>
      <c r="K8" s="11">
        <v>1140</v>
      </c>
      <c r="L8" s="11">
        <v>1732</v>
      </c>
      <c r="M8" s="11"/>
      <c r="N8" s="11">
        <v>208</v>
      </c>
      <c r="O8" s="11">
        <v>200</v>
      </c>
      <c r="P8" s="11">
        <v>1002</v>
      </c>
      <c r="Q8" s="11">
        <v>1000</v>
      </c>
      <c r="R8" s="11">
        <v>1004</v>
      </c>
      <c r="S8" s="11">
        <v>1006</v>
      </c>
      <c r="T8" s="11">
        <v>1006</v>
      </c>
      <c r="U8" s="11">
        <v>1007</v>
      </c>
      <c r="V8" s="11">
        <v>405</v>
      </c>
      <c r="W8" s="11"/>
      <c r="X8" s="11">
        <v>2436</v>
      </c>
      <c r="Y8" s="11">
        <v>4402</v>
      </c>
    </row>
    <row r="9" spans="2:25" ht="29" x14ac:dyDescent="0.35">
      <c r="B9" s="18" t="s">
        <v>449</v>
      </c>
      <c r="C9" s="17">
        <v>0.109809959786398</v>
      </c>
      <c r="D9" s="17">
        <v>0.14385166441790301</v>
      </c>
      <c r="E9" s="17">
        <v>7.7389066748020693E-2</v>
      </c>
      <c r="F9" s="17"/>
      <c r="G9" s="17">
        <v>0.207056532157263</v>
      </c>
      <c r="H9" s="17">
        <v>0.17209958548162499</v>
      </c>
      <c r="I9" s="17">
        <v>0.15934738322894701</v>
      </c>
      <c r="J9" s="17">
        <v>9.6243299940898405E-2</v>
      </c>
      <c r="K9" s="17">
        <v>7.9681247484227904E-2</v>
      </c>
      <c r="L9" s="17">
        <v>3.4071593802228899E-2</v>
      </c>
      <c r="M9" s="17"/>
      <c r="N9" s="17">
        <v>0.13682254310445099</v>
      </c>
      <c r="O9" s="17">
        <v>0.10690068319043999</v>
      </c>
      <c r="P9" s="17">
        <v>4.7368321009553502E-2</v>
      </c>
      <c r="Q9" s="17">
        <v>0.10615396662760999</v>
      </c>
      <c r="R9" s="17">
        <v>8.0101851526527504E-2</v>
      </c>
      <c r="S9" s="17">
        <v>6.9136794784075306E-2</v>
      </c>
      <c r="T9" s="17">
        <v>0.168225694292964</v>
      </c>
      <c r="U9" s="17">
        <v>0.17430629636585701</v>
      </c>
      <c r="V9" s="17">
        <v>0.130096029016882</v>
      </c>
      <c r="W9" s="17"/>
      <c r="X9" s="17">
        <v>0.137587575726005</v>
      </c>
      <c r="Y9" s="17">
        <v>9.4438756956095896E-2</v>
      </c>
    </row>
    <row r="10" spans="2:25" ht="29" x14ac:dyDescent="0.35">
      <c r="B10" s="18" t="s">
        <v>450</v>
      </c>
      <c r="C10" s="17">
        <v>0.256558063550063</v>
      </c>
      <c r="D10" s="17">
        <v>0.286638121271168</v>
      </c>
      <c r="E10" s="17">
        <v>0.22869622634139899</v>
      </c>
      <c r="F10" s="17"/>
      <c r="G10" s="17">
        <v>0.34847278500269102</v>
      </c>
      <c r="H10" s="17">
        <v>0.32840866388726703</v>
      </c>
      <c r="I10" s="17">
        <v>0.30170545073702798</v>
      </c>
      <c r="J10" s="17">
        <v>0.269091933385667</v>
      </c>
      <c r="K10" s="17">
        <v>0.22613140816254801</v>
      </c>
      <c r="L10" s="17">
        <v>0.16232031730424901</v>
      </c>
      <c r="M10" s="17"/>
      <c r="N10" s="17">
        <v>0.28447123067841401</v>
      </c>
      <c r="O10" s="17">
        <v>0.37301780912513299</v>
      </c>
      <c r="P10" s="17">
        <v>0.16067699382738301</v>
      </c>
      <c r="Q10" s="17">
        <v>0.263355965220399</v>
      </c>
      <c r="R10" s="17">
        <v>0.21978489374381199</v>
      </c>
      <c r="S10" s="17">
        <v>0.235261133383526</v>
      </c>
      <c r="T10" s="17">
        <v>0.31964780979555901</v>
      </c>
      <c r="U10" s="17">
        <v>0.31526858623457499</v>
      </c>
      <c r="V10" s="17">
        <v>0.246514200539729</v>
      </c>
      <c r="W10" s="17"/>
      <c r="X10" s="17">
        <v>0.298475706405606</v>
      </c>
      <c r="Y10" s="17">
        <v>0.233362243149148</v>
      </c>
    </row>
    <row r="11" spans="2:25" ht="29" x14ac:dyDescent="0.35">
      <c r="B11" s="18" t="s">
        <v>451</v>
      </c>
      <c r="C11" s="17">
        <v>0.327937947807449</v>
      </c>
      <c r="D11" s="17">
        <v>0.29780203924035598</v>
      </c>
      <c r="E11" s="17">
        <v>0.356176961058079</v>
      </c>
      <c r="F11" s="17"/>
      <c r="G11" s="17">
        <v>0.21986013344840799</v>
      </c>
      <c r="H11" s="17">
        <v>0.26468911853942101</v>
      </c>
      <c r="I11" s="17">
        <v>0.30452246123193499</v>
      </c>
      <c r="J11" s="17">
        <v>0.33929244167058598</v>
      </c>
      <c r="K11" s="17">
        <v>0.36817003640657697</v>
      </c>
      <c r="L11" s="17">
        <v>0.386380415254788</v>
      </c>
      <c r="M11" s="17"/>
      <c r="N11" s="17">
        <v>0.21569910181961099</v>
      </c>
      <c r="O11" s="17">
        <v>0.22712025080928899</v>
      </c>
      <c r="P11" s="17">
        <v>0.44541945671586303</v>
      </c>
      <c r="Q11" s="17">
        <v>0.29749879533195001</v>
      </c>
      <c r="R11" s="17">
        <v>0.40608651279201802</v>
      </c>
      <c r="S11" s="17">
        <v>0.44941935153729901</v>
      </c>
      <c r="T11" s="17">
        <v>0.24959699703882299</v>
      </c>
      <c r="U11" s="17">
        <v>0.17856070355577</v>
      </c>
      <c r="V11" s="17">
        <v>0.29039308349216703</v>
      </c>
      <c r="W11" s="17"/>
      <c r="X11" s="17">
        <v>0.30278981016383</v>
      </c>
      <c r="Y11" s="17">
        <v>0.34185408536816803</v>
      </c>
    </row>
    <row r="12" spans="2:25" x14ac:dyDescent="0.35">
      <c r="B12" s="18" t="s">
        <v>434</v>
      </c>
      <c r="C12" s="19">
        <v>0.30569402885609098</v>
      </c>
      <c r="D12" s="19">
        <v>0.27170817507057299</v>
      </c>
      <c r="E12" s="19">
        <v>0.33773774585250099</v>
      </c>
      <c r="F12" s="19"/>
      <c r="G12" s="19">
        <v>0.22461054939163699</v>
      </c>
      <c r="H12" s="19">
        <v>0.234802632091688</v>
      </c>
      <c r="I12" s="19">
        <v>0.23442470480208999</v>
      </c>
      <c r="J12" s="19">
        <v>0.29537232500284899</v>
      </c>
      <c r="K12" s="19">
        <v>0.32601730794664702</v>
      </c>
      <c r="L12" s="19">
        <v>0.41722767363873398</v>
      </c>
      <c r="M12" s="19"/>
      <c r="N12" s="19">
        <v>0.36300712439752297</v>
      </c>
      <c r="O12" s="19">
        <v>0.29296125687513802</v>
      </c>
      <c r="P12" s="19">
        <v>0.34653522844720003</v>
      </c>
      <c r="Q12" s="19">
        <v>0.33299127282004098</v>
      </c>
      <c r="R12" s="19">
        <v>0.294026741937643</v>
      </c>
      <c r="S12" s="19">
        <v>0.24618272029509999</v>
      </c>
      <c r="T12" s="19">
        <v>0.26252949887265398</v>
      </c>
      <c r="U12" s="19">
        <v>0.331864413843798</v>
      </c>
      <c r="V12" s="19">
        <v>0.33299668695122098</v>
      </c>
      <c r="W12" s="19"/>
      <c r="X12" s="19">
        <v>0.26114690770455901</v>
      </c>
      <c r="Y12" s="19">
        <v>0.33034491452658798</v>
      </c>
    </row>
    <row r="13" spans="2:25" x14ac:dyDescent="0.35">
      <c r="B13" s="16"/>
    </row>
    <row r="14" spans="2:25" x14ac:dyDescent="0.35">
      <c r="B14" t="s">
        <v>51</v>
      </c>
    </row>
    <row r="15" spans="2:25" x14ac:dyDescent="0.35">
      <c r="B15" t="s">
        <v>52</v>
      </c>
    </row>
    <row r="17" spans="2:2" x14ac:dyDescent="0.35">
      <c r="B17" s="8" t="str">
        <f>HYPERLINK("#'Contents'!A1", "Return to Contents")</f>
        <v>Return to Contents</v>
      </c>
    </row>
  </sheetData>
  <mergeCells count="5">
    <mergeCell ref="D5:E5"/>
    <mergeCell ref="G5:L5"/>
    <mergeCell ref="N5:V5"/>
    <mergeCell ref="X5:Y5"/>
    <mergeCell ref="D2:W2"/>
  </mergeCells>
  <pageMargins left="0.7" right="0.7" top="0.75" bottom="0.75" header="0.3" footer="0.3"/>
  <pageSetup paperSize="9" orientation="portrait" horizontalDpi="300" verticalDpi="300"/>
  <drawing r:id="rId1"/>
</worksheet>
</file>

<file path=xl/worksheets/sheet1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700-000000000000}">
  <dimension ref="B2:Y2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s>
  <sheetData>
    <row r="2" spans="2:25" ht="40" customHeight="1" x14ac:dyDescent="0.35">
      <c r="D2" s="30" t="s">
        <v>478</v>
      </c>
      <c r="E2" s="26"/>
      <c r="F2" s="26"/>
      <c r="G2" s="26"/>
      <c r="H2" s="26"/>
      <c r="I2" s="26"/>
      <c r="J2" s="26"/>
      <c r="K2" s="26"/>
      <c r="L2" s="26"/>
      <c r="M2" s="26"/>
      <c r="N2" s="26"/>
      <c r="O2" s="26"/>
      <c r="P2" s="26"/>
      <c r="Q2" s="26"/>
      <c r="R2" s="26"/>
      <c r="S2" s="26"/>
      <c r="T2" s="26"/>
      <c r="U2" s="26"/>
      <c r="V2" s="26"/>
      <c r="W2" s="26"/>
    </row>
    <row r="5" spans="2:25" ht="30" customHeight="1" x14ac:dyDescent="0.35">
      <c r="B5" s="15"/>
      <c r="C5" s="15"/>
      <c r="D5" s="29" t="s">
        <v>38</v>
      </c>
      <c r="E5" s="29"/>
      <c r="F5" s="15"/>
      <c r="G5" s="29" t="s">
        <v>39</v>
      </c>
      <c r="H5" s="29"/>
      <c r="I5" s="29"/>
      <c r="J5" s="29"/>
      <c r="K5" s="29"/>
      <c r="L5" s="29"/>
      <c r="M5" s="15"/>
      <c r="N5" s="29" t="s">
        <v>40</v>
      </c>
      <c r="O5" s="29"/>
      <c r="P5" s="29"/>
      <c r="Q5" s="29"/>
      <c r="R5" s="29"/>
      <c r="S5" s="29"/>
      <c r="T5" s="29"/>
      <c r="U5" s="29"/>
      <c r="V5" s="29"/>
      <c r="W5" s="15"/>
      <c r="X5" s="29" t="s">
        <v>41</v>
      </c>
      <c r="Y5" s="29"/>
    </row>
    <row r="6" spans="2:25" ht="29"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row>
    <row r="7" spans="2:25" ht="30" customHeight="1" x14ac:dyDescent="0.35">
      <c r="B7" s="10" t="s">
        <v>19</v>
      </c>
      <c r="C7" s="10">
        <v>6838</v>
      </c>
      <c r="D7" s="10">
        <v>3283</v>
      </c>
      <c r="E7" s="10">
        <v>3541</v>
      </c>
      <c r="F7" s="10"/>
      <c r="G7" s="10">
        <v>635</v>
      </c>
      <c r="H7" s="10">
        <v>1075</v>
      </c>
      <c r="I7" s="10">
        <v>1093</v>
      </c>
      <c r="J7" s="10">
        <v>1228</v>
      </c>
      <c r="K7" s="10">
        <v>1156</v>
      </c>
      <c r="L7" s="10">
        <v>1651</v>
      </c>
      <c r="M7" s="10"/>
      <c r="N7" s="10">
        <v>208</v>
      </c>
      <c r="O7" s="10">
        <v>200</v>
      </c>
      <c r="P7" s="10">
        <v>1002</v>
      </c>
      <c r="Q7" s="10">
        <v>1000</v>
      </c>
      <c r="R7" s="10">
        <v>1004</v>
      </c>
      <c r="S7" s="10">
        <v>1006</v>
      </c>
      <c r="T7" s="10">
        <v>1006</v>
      </c>
      <c r="U7" s="10">
        <v>1007</v>
      </c>
      <c r="V7" s="10">
        <v>405</v>
      </c>
      <c r="W7" s="10"/>
      <c r="X7" s="10">
        <v>2650</v>
      </c>
      <c r="Y7" s="10">
        <v>4188</v>
      </c>
    </row>
    <row r="8" spans="2:25" ht="30" customHeight="1" x14ac:dyDescent="0.35">
      <c r="B8" s="11" t="s">
        <v>20</v>
      </c>
      <c r="C8" s="11">
        <v>6838</v>
      </c>
      <c r="D8" s="11">
        <v>3309</v>
      </c>
      <c r="E8" s="11">
        <v>3515</v>
      </c>
      <c r="F8" s="11"/>
      <c r="G8" s="11">
        <v>645</v>
      </c>
      <c r="H8" s="11">
        <v>1026</v>
      </c>
      <c r="I8" s="11">
        <v>1111</v>
      </c>
      <c r="J8" s="11">
        <v>1184</v>
      </c>
      <c r="K8" s="11">
        <v>1140</v>
      </c>
      <c r="L8" s="11">
        <v>1732</v>
      </c>
      <c r="M8" s="11"/>
      <c r="N8" s="11">
        <v>208</v>
      </c>
      <c r="O8" s="11">
        <v>200</v>
      </c>
      <c r="P8" s="11">
        <v>1002</v>
      </c>
      <c r="Q8" s="11">
        <v>1000</v>
      </c>
      <c r="R8" s="11">
        <v>1004</v>
      </c>
      <c r="S8" s="11">
        <v>1006</v>
      </c>
      <c r="T8" s="11">
        <v>1006</v>
      </c>
      <c r="U8" s="11">
        <v>1007</v>
      </c>
      <c r="V8" s="11">
        <v>405</v>
      </c>
      <c r="W8" s="11"/>
      <c r="X8" s="11">
        <v>2436</v>
      </c>
      <c r="Y8" s="11">
        <v>4402</v>
      </c>
    </row>
    <row r="9" spans="2:25" x14ac:dyDescent="0.35">
      <c r="B9" s="18" t="s">
        <v>466</v>
      </c>
      <c r="C9" s="17">
        <v>0.51851823819629295</v>
      </c>
      <c r="D9" s="17">
        <v>0.57499317923787296</v>
      </c>
      <c r="E9" s="17">
        <v>0.46463279541451102</v>
      </c>
      <c r="F9" s="17"/>
      <c r="G9" s="17">
        <v>0.60475338154168801</v>
      </c>
      <c r="H9" s="17">
        <v>0.55249535330421096</v>
      </c>
      <c r="I9" s="17">
        <v>0.56217677471158001</v>
      </c>
      <c r="J9" s="17">
        <v>0.54487145649343505</v>
      </c>
      <c r="K9" s="17">
        <v>0.49229112992132301</v>
      </c>
      <c r="L9" s="17">
        <v>0.43756202990812498</v>
      </c>
      <c r="M9" s="17"/>
      <c r="N9" s="17">
        <v>0.443845070955184</v>
      </c>
      <c r="O9" s="17">
        <v>0.43234702397642899</v>
      </c>
      <c r="P9" s="17">
        <v>0.47525665897694902</v>
      </c>
      <c r="Q9" s="17">
        <v>0.45966941359045999</v>
      </c>
      <c r="R9" s="17">
        <v>0.60813038716743895</v>
      </c>
      <c r="S9" s="17">
        <v>0.43478581131835198</v>
      </c>
      <c r="T9" s="17">
        <v>0.56752657615340496</v>
      </c>
      <c r="U9" s="17">
        <v>0.58565677624703905</v>
      </c>
      <c r="V9" s="17">
        <v>0.54892939050237299</v>
      </c>
      <c r="W9" s="17"/>
      <c r="X9" s="17">
        <v>0.58769626114863405</v>
      </c>
      <c r="Y9" s="17">
        <v>0.48023743596648399</v>
      </c>
    </row>
    <row r="10" spans="2:25" x14ac:dyDescent="0.35">
      <c r="B10" s="18" t="s">
        <v>467</v>
      </c>
      <c r="C10" s="17">
        <v>0.438106644230364</v>
      </c>
      <c r="D10" s="17">
        <v>0.43291752125692701</v>
      </c>
      <c r="E10" s="17">
        <v>0.44274070064448501</v>
      </c>
      <c r="F10" s="17"/>
      <c r="G10" s="17">
        <v>0.526480748597977</v>
      </c>
      <c r="H10" s="17">
        <v>0.48185882859164703</v>
      </c>
      <c r="I10" s="17">
        <v>0.46500899854451999</v>
      </c>
      <c r="J10" s="17">
        <v>0.43744676901318802</v>
      </c>
      <c r="K10" s="17">
        <v>0.40473125532871002</v>
      </c>
      <c r="L10" s="17">
        <v>0.384480539242396</v>
      </c>
      <c r="M10" s="17"/>
      <c r="N10" s="17">
        <v>0.34171699878480999</v>
      </c>
      <c r="O10" s="17">
        <v>0.38463068715160598</v>
      </c>
      <c r="P10" s="17">
        <v>0.38036106747576198</v>
      </c>
      <c r="Q10" s="17">
        <v>0.45306896249119</v>
      </c>
      <c r="R10" s="17">
        <v>0.47427194740429501</v>
      </c>
      <c r="S10" s="17">
        <v>0.28819046232253198</v>
      </c>
      <c r="T10" s="17">
        <v>0.58156375862722198</v>
      </c>
      <c r="U10" s="17">
        <v>0.49864155976118102</v>
      </c>
      <c r="V10" s="17">
        <v>0.395815742762686</v>
      </c>
      <c r="W10" s="17"/>
      <c r="X10" s="17">
        <v>0.46048161853490899</v>
      </c>
      <c r="Y10" s="17">
        <v>0.42572508243234197</v>
      </c>
    </row>
    <row r="11" spans="2:25" ht="43.5" x14ac:dyDescent="0.35">
      <c r="B11" s="18" t="s">
        <v>468</v>
      </c>
      <c r="C11" s="17">
        <v>0.35669338812668699</v>
      </c>
      <c r="D11" s="17">
        <v>0.37322206778998401</v>
      </c>
      <c r="E11" s="17">
        <v>0.34120438056004598</v>
      </c>
      <c r="F11" s="17"/>
      <c r="G11" s="17">
        <v>0.421729163963181</v>
      </c>
      <c r="H11" s="17">
        <v>0.38552421830232703</v>
      </c>
      <c r="I11" s="17">
        <v>0.38241295047610702</v>
      </c>
      <c r="J11" s="17">
        <v>0.36520812222423199</v>
      </c>
      <c r="K11" s="17">
        <v>0.343816094431312</v>
      </c>
      <c r="L11" s="17">
        <v>0.30158278476448203</v>
      </c>
      <c r="M11" s="17"/>
      <c r="N11" s="17">
        <v>0.56499138850216901</v>
      </c>
      <c r="O11" s="17">
        <v>0.44087804008938902</v>
      </c>
      <c r="P11" s="17">
        <v>0.25750854545416402</v>
      </c>
      <c r="Q11" s="17">
        <v>0.40319883926896899</v>
      </c>
      <c r="R11" s="17">
        <v>0.28426488671834099</v>
      </c>
      <c r="S11" s="17">
        <v>0.26643880721859198</v>
      </c>
      <c r="T11" s="17">
        <v>0.46385208209751899</v>
      </c>
      <c r="U11" s="17">
        <v>0.38792453032817598</v>
      </c>
      <c r="V11" s="17">
        <v>0.39861379361042598</v>
      </c>
      <c r="W11" s="17"/>
      <c r="X11" s="17">
        <v>0.40341473798049499</v>
      </c>
      <c r="Y11" s="17">
        <v>0.33083935707269901</v>
      </c>
    </row>
    <row r="12" spans="2:25" x14ac:dyDescent="0.35">
      <c r="B12" s="18" t="s">
        <v>469</v>
      </c>
      <c r="C12" s="17">
        <v>0.304971675781044</v>
      </c>
      <c r="D12" s="17">
        <v>0.35190321941469699</v>
      </c>
      <c r="E12" s="17">
        <v>0.26008280920254001</v>
      </c>
      <c r="F12" s="17"/>
      <c r="G12" s="17">
        <v>0.38423138921550398</v>
      </c>
      <c r="H12" s="17">
        <v>0.35373103216557999</v>
      </c>
      <c r="I12" s="17">
        <v>0.31842198910980501</v>
      </c>
      <c r="J12" s="17">
        <v>0.30482394445218902</v>
      </c>
      <c r="K12" s="17">
        <v>0.293035638873344</v>
      </c>
      <c r="L12" s="17">
        <v>0.24594036809765399</v>
      </c>
      <c r="M12" s="17"/>
      <c r="N12" s="17">
        <v>0.24699235737676001</v>
      </c>
      <c r="O12" s="17">
        <v>0.19305264954811299</v>
      </c>
      <c r="P12" s="17">
        <v>0.27185434311219497</v>
      </c>
      <c r="Q12" s="17">
        <v>0.32047099761815701</v>
      </c>
      <c r="R12" s="17">
        <v>0.328251847316266</v>
      </c>
      <c r="S12" s="17">
        <v>0.20698236265751599</v>
      </c>
      <c r="T12" s="17">
        <v>0.41857082075726998</v>
      </c>
      <c r="U12" s="17">
        <v>0.29302610529470702</v>
      </c>
      <c r="V12" s="17">
        <v>0.36689798537687801</v>
      </c>
      <c r="W12" s="17"/>
      <c r="X12" s="17">
        <v>0.34482901786574599</v>
      </c>
      <c r="Y12" s="17">
        <v>0.28291595685999998</v>
      </c>
    </row>
    <row r="13" spans="2:25" x14ac:dyDescent="0.35">
      <c r="B13" s="18" t="s">
        <v>470</v>
      </c>
      <c r="C13" s="17">
        <v>0.29511902167938903</v>
      </c>
      <c r="D13" s="17">
        <v>0.34887552850114301</v>
      </c>
      <c r="E13" s="17">
        <v>0.24424642560559101</v>
      </c>
      <c r="F13" s="17"/>
      <c r="G13" s="17">
        <v>0.37057889748779799</v>
      </c>
      <c r="H13" s="17">
        <v>0.369108116001653</v>
      </c>
      <c r="I13" s="17">
        <v>0.34091803668916998</v>
      </c>
      <c r="J13" s="17">
        <v>0.32516226224969103</v>
      </c>
      <c r="K13" s="17">
        <v>0.28115310926751202</v>
      </c>
      <c r="L13" s="17">
        <v>0.182521156594316</v>
      </c>
      <c r="M13" s="17"/>
      <c r="N13" s="17">
        <v>0.24989893536574301</v>
      </c>
      <c r="O13" s="17">
        <v>0.28476479770516899</v>
      </c>
      <c r="P13" s="17">
        <v>0.236159418661575</v>
      </c>
      <c r="Q13" s="17">
        <v>0.24328956030632101</v>
      </c>
      <c r="R13" s="17">
        <v>0.28354627597642701</v>
      </c>
      <c r="S13" s="17">
        <v>0.24229338848569201</v>
      </c>
      <c r="T13" s="17">
        <v>0.34023904482601902</v>
      </c>
      <c r="U13" s="17">
        <v>0.42452689890338402</v>
      </c>
      <c r="V13" s="17">
        <v>0.32336779791039999</v>
      </c>
      <c r="W13" s="17"/>
      <c r="X13" s="17">
        <v>0.34038808358831901</v>
      </c>
      <c r="Y13" s="17">
        <v>0.27006863816006499</v>
      </c>
    </row>
    <row r="14" spans="2:25" ht="29" x14ac:dyDescent="0.35">
      <c r="B14" s="18" t="s">
        <v>471</v>
      </c>
      <c r="C14" s="17">
        <v>0.252121445919887</v>
      </c>
      <c r="D14" s="17">
        <v>0.27942985889132699</v>
      </c>
      <c r="E14" s="17">
        <v>0.22623137450567801</v>
      </c>
      <c r="F14" s="17"/>
      <c r="G14" s="17">
        <v>0.199190298652864</v>
      </c>
      <c r="H14" s="17">
        <v>0.212654386855369</v>
      </c>
      <c r="I14" s="17">
        <v>0.25609021803534698</v>
      </c>
      <c r="J14" s="17">
        <v>0.25934855582904198</v>
      </c>
      <c r="K14" s="17">
        <v>0.26836853358146301</v>
      </c>
      <c r="L14" s="17">
        <v>0.27700494029225398</v>
      </c>
      <c r="M14" s="17"/>
      <c r="N14" s="17">
        <v>0.19427168820431601</v>
      </c>
      <c r="O14" s="17">
        <v>0.190345180382747</v>
      </c>
      <c r="P14" s="17">
        <v>0.169065948750385</v>
      </c>
      <c r="Q14" s="17">
        <v>0.249420126424762</v>
      </c>
      <c r="R14" s="17">
        <v>0.26792915600001499</v>
      </c>
      <c r="S14" s="17">
        <v>0.15527194675866801</v>
      </c>
      <c r="T14" s="17">
        <v>0.41168801616608502</v>
      </c>
      <c r="U14" s="17">
        <v>0.29520785543669997</v>
      </c>
      <c r="V14" s="17">
        <v>0.222389597909673</v>
      </c>
      <c r="W14" s="17"/>
      <c r="X14" s="17">
        <v>0.285953190054067</v>
      </c>
      <c r="Y14" s="17">
        <v>0.23340009120319699</v>
      </c>
    </row>
    <row r="15" spans="2:25" x14ac:dyDescent="0.35">
      <c r="B15" s="18" t="s">
        <v>472</v>
      </c>
      <c r="C15" s="17">
        <v>0.207328164818736</v>
      </c>
      <c r="D15" s="17">
        <v>0.26175048368877302</v>
      </c>
      <c r="E15" s="17">
        <v>0.15584943311352201</v>
      </c>
      <c r="F15" s="17"/>
      <c r="G15" s="17">
        <v>0.29404624291054898</v>
      </c>
      <c r="H15" s="17">
        <v>0.235476604181307</v>
      </c>
      <c r="I15" s="17">
        <v>0.26108947287004403</v>
      </c>
      <c r="J15" s="17">
        <v>0.218213902584807</v>
      </c>
      <c r="K15" s="17">
        <v>0.186852832919541</v>
      </c>
      <c r="L15" s="17">
        <v>0.129946028514968</v>
      </c>
      <c r="M15" s="17"/>
      <c r="N15" s="17">
        <v>0.193879192201142</v>
      </c>
      <c r="O15" s="17">
        <v>0.107798813910886</v>
      </c>
      <c r="P15" s="17">
        <v>0.20243150938679499</v>
      </c>
      <c r="Q15" s="17">
        <v>0.216986191407292</v>
      </c>
      <c r="R15" s="17">
        <v>0.19970401372399799</v>
      </c>
      <c r="S15" s="17">
        <v>0.13670248305152799</v>
      </c>
      <c r="T15" s="17">
        <v>0.26242349956208599</v>
      </c>
      <c r="U15" s="17">
        <v>0.24093772641326699</v>
      </c>
      <c r="V15" s="17">
        <v>0.22556279918837899</v>
      </c>
      <c r="W15" s="17"/>
      <c r="X15" s="17">
        <v>0.251257612451039</v>
      </c>
      <c r="Y15" s="17">
        <v>0.18301907899771599</v>
      </c>
    </row>
    <row r="16" spans="2:25" ht="29" x14ac:dyDescent="0.35">
      <c r="B16" s="18" t="s">
        <v>473</v>
      </c>
      <c r="C16" s="17">
        <v>0.19549655574385899</v>
      </c>
      <c r="D16" s="17">
        <v>0.249916099980626</v>
      </c>
      <c r="E16" s="17">
        <v>0.14364651711080501</v>
      </c>
      <c r="F16" s="17"/>
      <c r="G16" s="17">
        <v>0.28804258667761601</v>
      </c>
      <c r="H16" s="17">
        <v>0.26729376364401802</v>
      </c>
      <c r="I16" s="17">
        <v>0.24583766298870599</v>
      </c>
      <c r="J16" s="17">
        <v>0.218478924349504</v>
      </c>
      <c r="K16" s="17">
        <v>0.16307022712108701</v>
      </c>
      <c r="L16" s="17">
        <v>9.1900204379279204E-2</v>
      </c>
      <c r="M16" s="17"/>
      <c r="N16" s="17">
        <v>0.161246455902777</v>
      </c>
      <c r="O16" s="17">
        <v>0.18505562552393401</v>
      </c>
      <c r="P16" s="17">
        <v>0.20851933450257501</v>
      </c>
      <c r="Q16" s="17">
        <v>0.16713260962014201</v>
      </c>
      <c r="R16" s="17">
        <v>0.20021153035182601</v>
      </c>
      <c r="S16" s="17">
        <v>0.111184888351501</v>
      </c>
      <c r="T16" s="17">
        <v>0.20415121660118701</v>
      </c>
      <c r="U16" s="17">
        <v>0.26152288750452202</v>
      </c>
      <c r="V16" s="17">
        <v>0.268128473282786</v>
      </c>
      <c r="W16" s="17"/>
      <c r="X16" s="17">
        <v>0.23087621323962301</v>
      </c>
      <c r="Y16" s="17">
        <v>0.17591863758787399</v>
      </c>
    </row>
    <row r="17" spans="2:25" x14ac:dyDescent="0.35">
      <c r="B17" s="18" t="s">
        <v>474</v>
      </c>
      <c r="C17" s="17">
        <v>0.19135785961697299</v>
      </c>
      <c r="D17" s="17">
        <v>0.239797319013687</v>
      </c>
      <c r="E17" s="17">
        <v>0.14512091578319899</v>
      </c>
      <c r="F17" s="17"/>
      <c r="G17" s="17">
        <v>0.27637821581559002</v>
      </c>
      <c r="H17" s="17">
        <v>0.262334286109557</v>
      </c>
      <c r="I17" s="17">
        <v>0.23713709433446301</v>
      </c>
      <c r="J17" s="17">
        <v>0.19423627270888</v>
      </c>
      <c r="K17" s="17">
        <v>0.179192207756247</v>
      </c>
      <c r="L17" s="17">
        <v>9.4376325725792201E-2</v>
      </c>
      <c r="M17" s="17"/>
      <c r="N17" s="17">
        <v>0.12396888909084899</v>
      </c>
      <c r="O17" s="17">
        <v>0.101444421488097</v>
      </c>
      <c r="P17" s="17">
        <v>0.21901858161497401</v>
      </c>
      <c r="Q17" s="17">
        <v>0.142705221666445</v>
      </c>
      <c r="R17" s="17">
        <v>0.20868438291348801</v>
      </c>
      <c r="S17" s="17">
        <v>9.9303746598333298E-2</v>
      </c>
      <c r="T17" s="17">
        <v>0.21706270260059701</v>
      </c>
      <c r="U17" s="17">
        <v>0.27137226183451102</v>
      </c>
      <c r="V17" s="17">
        <v>0.24497075155822601</v>
      </c>
      <c r="W17" s="17"/>
      <c r="X17" s="17">
        <v>0.238017430548882</v>
      </c>
      <c r="Y17" s="17">
        <v>0.16553801495036999</v>
      </c>
    </row>
    <row r="18" spans="2:25" ht="29" x14ac:dyDescent="0.35">
      <c r="B18" s="18" t="s">
        <v>475</v>
      </c>
      <c r="C18" s="17">
        <v>0.169905925088014</v>
      </c>
      <c r="D18" s="17">
        <v>0.20316548011435701</v>
      </c>
      <c r="E18" s="17">
        <v>0.13778441090888299</v>
      </c>
      <c r="F18" s="17"/>
      <c r="G18" s="17">
        <v>0.22838394134001599</v>
      </c>
      <c r="H18" s="17">
        <v>0.23486985754529499</v>
      </c>
      <c r="I18" s="17">
        <v>0.21318495250842801</v>
      </c>
      <c r="J18" s="17">
        <v>0.217568699732475</v>
      </c>
      <c r="K18" s="17">
        <v>0.152093187077183</v>
      </c>
      <c r="L18" s="17">
        <v>6.10787817066068E-2</v>
      </c>
      <c r="M18" s="17"/>
      <c r="N18" s="17">
        <v>0.19044433371189401</v>
      </c>
      <c r="O18" s="17">
        <v>0.20037153106544001</v>
      </c>
      <c r="P18" s="17">
        <v>0.119175295673286</v>
      </c>
      <c r="Q18" s="17">
        <v>0.154163632820325</v>
      </c>
      <c r="R18" s="17">
        <v>0.15105014804321401</v>
      </c>
      <c r="S18" s="17">
        <v>0.107727425660715</v>
      </c>
      <c r="T18" s="17">
        <v>0.25709278868396701</v>
      </c>
      <c r="U18" s="17">
        <v>0.22392238979859</v>
      </c>
      <c r="V18" s="17">
        <v>0.159010810489875</v>
      </c>
      <c r="W18" s="17"/>
      <c r="X18" s="17">
        <v>0.220324096751878</v>
      </c>
      <c r="Y18" s="17">
        <v>0.14200619659211999</v>
      </c>
    </row>
    <row r="19" spans="2:25" ht="29" x14ac:dyDescent="0.35">
      <c r="B19" s="18" t="s">
        <v>476</v>
      </c>
      <c r="C19" s="17">
        <v>0.16387422005970501</v>
      </c>
      <c r="D19" s="17">
        <v>0.22572190205453799</v>
      </c>
      <c r="E19" s="17">
        <v>0.105444454323259</v>
      </c>
      <c r="F19" s="17"/>
      <c r="G19" s="17">
        <v>0.33417795808823197</v>
      </c>
      <c r="H19" s="17">
        <v>0.26881246835150102</v>
      </c>
      <c r="I19" s="17">
        <v>0.217297104563097</v>
      </c>
      <c r="J19" s="17">
        <v>0.152076091894711</v>
      </c>
      <c r="K19" s="17">
        <v>0.104117117047494</v>
      </c>
      <c r="L19" s="17">
        <v>5.15016417902232E-2</v>
      </c>
      <c r="M19" s="17"/>
      <c r="N19" s="17">
        <v>0.137653775480684</v>
      </c>
      <c r="O19" s="17">
        <v>0.17755691799242501</v>
      </c>
      <c r="P19" s="17">
        <v>0.10682954991516599</v>
      </c>
      <c r="Q19" s="17">
        <v>0.156316465180489</v>
      </c>
      <c r="R19" s="17">
        <v>0.171746275073691</v>
      </c>
      <c r="S19" s="17">
        <v>0.160929546931599</v>
      </c>
      <c r="T19" s="17">
        <v>0.216307472252182</v>
      </c>
      <c r="U19" s="17">
        <v>0.16467174723441899</v>
      </c>
      <c r="V19" s="17">
        <v>0.18595240181822401</v>
      </c>
      <c r="W19" s="17"/>
      <c r="X19" s="17">
        <v>0.21789674006675999</v>
      </c>
      <c r="Y19" s="17">
        <v>0.13397996584300501</v>
      </c>
    </row>
    <row r="20" spans="2:25" x14ac:dyDescent="0.35">
      <c r="B20" s="18" t="s">
        <v>477</v>
      </c>
      <c r="C20" s="17">
        <v>0.12298446785733499</v>
      </c>
      <c r="D20" s="17">
        <v>0.168652383346067</v>
      </c>
      <c r="E20" s="17">
        <v>7.9638155212608405E-2</v>
      </c>
      <c r="F20" s="17"/>
      <c r="G20" s="17">
        <v>0.20761743980431799</v>
      </c>
      <c r="H20" s="17">
        <v>0.17983901192908699</v>
      </c>
      <c r="I20" s="17">
        <v>0.16248216467469401</v>
      </c>
      <c r="J20" s="17">
        <v>0.121902653869164</v>
      </c>
      <c r="K20" s="17">
        <v>9.9497967570665993E-2</v>
      </c>
      <c r="L20" s="17">
        <v>4.8694169131371999E-2</v>
      </c>
      <c r="M20" s="17"/>
      <c r="N20" s="17">
        <v>8.3500719675681304E-2</v>
      </c>
      <c r="O20" s="17">
        <v>9.9881524808189306E-2</v>
      </c>
      <c r="P20" s="17">
        <v>8.8247545282540196E-2</v>
      </c>
      <c r="Q20" s="17">
        <v>0.12630615063437201</v>
      </c>
      <c r="R20" s="17">
        <v>0.16518407565871901</v>
      </c>
      <c r="S20" s="17">
        <v>8.6964091968298199E-2</v>
      </c>
      <c r="T20" s="17">
        <v>0.11103350552462</v>
      </c>
      <c r="U20" s="17">
        <v>0.16993707232163299</v>
      </c>
      <c r="V20" s="17">
        <v>0.13021263871528099</v>
      </c>
      <c r="W20" s="17"/>
      <c r="X20" s="17">
        <v>0.16999165348363501</v>
      </c>
      <c r="Y20" s="17">
        <v>9.69722648549452E-2</v>
      </c>
    </row>
    <row r="21" spans="2:25" x14ac:dyDescent="0.35">
      <c r="B21" s="18" t="s">
        <v>48</v>
      </c>
      <c r="C21" s="19">
        <v>0.19200901944057</v>
      </c>
      <c r="D21" s="19">
        <v>0.13983639723540001</v>
      </c>
      <c r="E21" s="19">
        <v>0.24189266395279499</v>
      </c>
      <c r="F21" s="19"/>
      <c r="G21" s="19">
        <v>5.7867386928577E-2</v>
      </c>
      <c r="H21" s="19">
        <v>0.101582940205127</v>
      </c>
      <c r="I21" s="19">
        <v>0.13483793669440999</v>
      </c>
      <c r="J21" s="19">
        <v>0.189335589555225</v>
      </c>
      <c r="K21" s="19">
        <v>0.23472097240932099</v>
      </c>
      <c r="L21" s="19">
        <v>0.30584586670960501</v>
      </c>
      <c r="M21" s="19"/>
      <c r="N21" s="19">
        <v>0.20695007373129001</v>
      </c>
      <c r="O21" s="19">
        <v>0.25483892336520098</v>
      </c>
      <c r="P21" s="19">
        <v>0.23888127222708</v>
      </c>
      <c r="Q21" s="19">
        <v>0.19605784769885901</v>
      </c>
      <c r="R21" s="19">
        <v>0.15704617132074999</v>
      </c>
      <c r="S21" s="19">
        <v>0.30167714273874502</v>
      </c>
      <c r="T21" s="19">
        <v>0.117904860306091</v>
      </c>
      <c r="U21" s="19">
        <v>0.13305517249789101</v>
      </c>
      <c r="V21" s="19">
        <v>0.17226415476682699</v>
      </c>
      <c r="W21" s="19"/>
      <c r="X21" s="19">
        <v>0.12913436356956401</v>
      </c>
      <c r="Y21" s="19">
        <v>0.22680174932710501</v>
      </c>
    </row>
    <row r="22" spans="2:25" x14ac:dyDescent="0.35">
      <c r="B22" s="16"/>
    </row>
    <row r="23" spans="2:25" x14ac:dyDescent="0.35">
      <c r="B23" t="s">
        <v>51</v>
      </c>
    </row>
    <row r="24" spans="2:25" x14ac:dyDescent="0.35">
      <c r="B24" t="s">
        <v>52</v>
      </c>
    </row>
    <row r="26" spans="2:25" x14ac:dyDescent="0.35">
      <c r="B26" s="8" t="str">
        <f>HYPERLINK("#'Contents'!A1", "Return to Contents")</f>
        <v>Return to Contents</v>
      </c>
    </row>
  </sheetData>
  <mergeCells count="5">
    <mergeCell ref="D5:E5"/>
    <mergeCell ref="G5:L5"/>
    <mergeCell ref="N5:V5"/>
    <mergeCell ref="X5:Y5"/>
    <mergeCell ref="D2:W2"/>
  </mergeCells>
  <pageMargins left="0.7" right="0.7" top="0.75" bottom="0.75" header="0.3" footer="0.3"/>
  <pageSetup paperSize="9" orientation="portrait" horizontalDpi="300" verticalDpi="300"/>
  <drawing r:id="rId1"/>
</worksheet>
</file>

<file path=xl/worksheets/sheet1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800-000000000000}">
  <dimension ref="B2:Y25"/>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s>
  <sheetData>
    <row r="2" spans="2:25" ht="40" customHeight="1" x14ac:dyDescent="0.35">
      <c r="D2" s="30" t="s">
        <v>480</v>
      </c>
      <c r="E2" s="26"/>
      <c r="F2" s="26"/>
      <c r="G2" s="26"/>
      <c r="H2" s="26"/>
      <c r="I2" s="26"/>
      <c r="J2" s="26"/>
      <c r="K2" s="26"/>
      <c r="L2" s="26"/>
      <c r="M2" s="26"/>
      <c r="N2" s="26"/>
      <c r="O2" s="26"/>
      <c r="P2" s="26"/>
      <c r="Q2" s="26"/>
      <c r="R2" s="26"/>
      <c r="S2" s="26"/>
      <c r="T2" s="26"/>
      <c r="U2" s="26"/>
      <c r="V2" s="26"/>
      <c r="W2" s="26"/>
    </row>
    <row r="5" spans="2:25" ht="30" customHeight="1" x14ac:dyDescent="0.35">
      <c r="B5" s="15"/>
      <c r="C5" s="15"/>
      <c r="D5" s="29" t="s">
        <v>38</v>
      </c>
      <c r="E5" s="29"/>
      <c r="F5" s="15"/>
      <c r="G5" s="29" t="s">
        <v>39</v>
      </c>
      <c r="H5" s="29"/>
      <c r="I5" s="29"/>
      <c r="J5" s="29"/>
      <c r="K5" s="29"/>
      <c r="L5" s="29"/>
      <c r="M5" s="15"/>
      <c r="N5" s="29" t="s">
        <v>40</v>
      </c>
      <c r="O5" s="29"/>
      <c r="P5" s="29"/>
      <c r="Q5" s="29"/>
      <c r="R5" s="29"/>
      <c r="S5" s="29"/>
      <c r="T5" s="29"/>
      <c r="U5" s="29"/>
      <c r="V5" s="29"/>
      <c r="W5" s="15"/>
      <c r="X5" s="29" t="s">
        <v>41</v>
      </c>
      <c r="Y5" s="29"/>
    </row>
    <row r="6" spans="2:25" ht="29"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row>
    <row r="7" spans="2:25" ht="30" customHeight="1" x14ac:dyDescent="0.35">
      <c r="B7" s="10" t="s">
        <v>19</v>
      </c>
      <c r="C7" s="10">
        <v>6838</v>
      </c>
      <c r="D7" s="10">
        <v>3283</v>
      </c>
      <c r="E7" s="10">
        <v>3541</v>
      </c>
      <c r="F7" s="10"/>
      <c r="G7" s="10">
        <v>635</v>
      </c>
      <c r="H7" s="10">
        <v>1075</v>
      </c>
      <c r="I7" s="10">
        <v>1093</v>
      </c>
      <c r="J7" s="10">
        <v>1228</v>
      </c>
      <c r="K7" s="10">
        <v>1156</v>
      </c>
      <c r="L7" s="10">
        <v>1651</v>
      </c>
      <c r="M7" s="10"/>
      <c r="N7" s="10">
        <v>208</v>
      </c>
      <c r="O7" s="10">
        <v>200</v>
      </c>
      <c r="P7" s="10">
        <v>1002</v>
      </c>
      <c r="Q7" s="10">
        <v>1000</v>
      </c>
      <c r="R7" s="10">
        <v>1004</v>
      </c>
      <c r="S7" s="10">
        <v>1006</v>
      </c>
      <c r="T7" s="10">
        <v>1006</v>
      </c>
      <c r="U7" s="10">
        <v>1007</v>
      </c>
      <c r="V7" s="10">
        <v>405</v>
      </c>
      <c r="W7" s="10"/>
      <c r="X7" s="10">
        <v>2650</v>
      </c>
      <c r="Y7" s="10">
        <v>4188</v>
      </c>
    </row>
    <row r="8" spans="2:25" ht="30" customHeight="1" x14ac:dyDescent="0.35">
      <c r="B8" s="11" t="s">
        <v>20</v>
      </c>
      <c r="C8" s="11">
        <v>6838</v>
      </c>
      <c r="D8" s="11">
        <v>3309</v>
      </c>
      <c r="E8" s="11">
        <v>3515</v>
      </c>
      <c r="F8" s="11"/>
      <c r="G8" s="11">
        <v>645</v>
      </c>
      <c r="H8" s="11">
        <v>1026</v>
      </c>
      <c r="I8" s="11">
        <v>1111</v>
      </c>
      <c r="J8" s="11">
        <v>1184</v>
      </c>
      <c r="K8" s="11">
        <v>1140</v>
      </c>
      <c r="L8" s="11">
        <v>1732</v>
      </c>
      <c r="M8" s="11"/>
      <c r="N8" s="11">
        <v>208</v>
      </c>
      <c r="O8" s="11">
        <v>200</v>
      </c>
      <c r="P8" s="11">
        <v>1002</v>
      </c>
      <c r="Q8" s="11">
        <v>1000</v>
      </c>
      <c r="R8" s="11">
        <v>1004</v>
      </c>
      <c r="S8" s="11">
        <v>1006</v>
      </c>
      <c r="T8" s="11">
        <v>1006</v>
      </c>
      <c r="U8" s="11">
        <v>1007</v>
      </c>
      <c r="V8" s="11">
        <v>405</v>
      </c>
      <c r="W8" s="11"/>
      <c r="X8" s="11">
        <v>2436</v>
      </c>
      <c r="Y8" s="11">
        <v>4402</v>
      </c>
    </row>
    <row r="9" spans="2:25" x14ac:dyDescent="0.35">
      <c r="B9" s="18" t="s">
        <v>467</v>
      </c>
      <c r="C9" s="17">
        <v>0.41833181883083698</v>
      </c>
      <c r="D9" s="17">
        <v>0.37628261641451</v>
      </c>
      <c r="E9" s="17">
        <v>0.45852044444096501</v>
      </c>
      <c r="F9" s="17"/>
      <c r="G9" s="17">
        <v>0.46412735289808499</v>
      </c>
      <c r="H9" s="17">
        <v>0.41321197412551702</v>
      </c>
      <c r="I9" s="17">
        <v>0.43535439197272102</v>
      </c>
      <c r="J9" s="17">
        <v>0.416379841280546</v>
      </c>
      <c r="K9" s="17">
        <v>0.39232438283194898</v>
      </c>
      <c r="L9" s="17">
        <v>0.41185333739219498</v>
      </c>
      <c r="M9" s="17"/>
      <c r="N9" s="17">
        <v>0.371467417514043</v>
      </c>
      <c r="O9" s="17">
        <v>0.53590721055627699</v>
      </c>
      <c r="P9" s="17">
        <v>0.33100648453414899</v>
      </c>
      <c r="Q9" s="17">
        <v>0.39808571664236297</v>
      </c>
      <c r="R9" s="17">
        <v>0.460007593250781</v>
      </c>
      <c r="S9" s="17">
        <v>0.308074204823158</v>
      </c>
      <c r="T9" s="17">
        <v>0.536343482022277</v>
      </c>
      <c r="U9" s="17">
        <v>0.471739005718115</v>
      </c>
      <c r="V9" s="17">
        <v>0.39501013016562098</v>
      </c>
      <c r="W9" s="17"/>
      <c r="X9" s="17">
        <v>0.41719768373140098</v>
      </c>
      <c r="Y9" s="17">
        <v>0.41895941123071501</v>
      </c>
    </row>
    <row r="10" spans="2:25" x14ac:dyDescent="0.35">
      <c r="B10" s="18" t="s">
        <v>466</v>
      </c>
      <c r="C10" s="17">
        <v>0.30837388005053601</v>
      </c>
      <c r="D10" s="17">
        <v>0.35198599104852202</v>
      </c>
      <c r="E10" s="17">
        <v>0.26712818717001902</v>
      </c>
      <c r="F10" s="17"/>
      <c r="G10" s="17">
        <v>0.33975440465322099</v>
      </c>
      <c r="H10" s="17">
        <v>0.33209009133314998</v>
      </c>
      <c r="I10" s="17">
        <v>0.33134914044866198</v>
      </c>
      <c r="J10" s="17">
        <v>0.30360189088538198</v>
      </c>
      <c r="K10" s="17">
        <v>0.28899426287525398</v>
      </c>
      <c r="L10" s="17">
        <v>0.28393551033300701</v>
      </c>
      <c r="M10" s="17"/>
      <c r="N10" s="17">
        <v>0.22536021010965701</v>
      </c>
      <c r="O10" s="17">
        <v>0.220448462936636</v>
      </c>
      <c r="P10" s="17">
        <v>0.279222238060581</v>
      </c>
      <c r="Q10" s="17">
        <v>0.245487644448524</v>
      </c>
      <c r="R10" s="17">
        <v>0.43807107457710998</v>
      </c>
      <c r="S10" s="17">
        <v>0.22032935555840399</v>
      </c>
      <c r="T10" s="17">
        <v>0.33934927580572399</v>
      </c>
      <c r="U10" s="17">
        <v>0.35734286427435502</v>
      </c>
      <c r="V10" s="17">
        <v>0.32030449915604903</v>
      </c>
      <c r="W10" s="17"/>
      <c r="X10" s="17">
        <v>0.33285027845186599</v>
      </c>
      <c r="Y10" s="17">
        <v>0.29482946050063302</v>
      </c>
    </row>
    <row r="11" spans="2:25" ht="29" x14ac:dyDescent="0.35">
      <c r="B11" s="18" t="s">
        <v>471</v>
      </c>
      <c r="C11" s="17">
        <v>0.246627567717454</v>
      </c>
      <c r="D11" s="17">
        <v>0.26766471505750999</v>
      </c>
      <c r="E11" s="17">
        <v>0.227225011098561</v>
      </c>
      <c r="F11" s="17"/>
      <c r="G11" s="17">
        <v>0.237048315435854</v>
      </c>
      <c r="H11" s="17">
        <v>0.23393926663964601</v>
      </c>
      <c r="I11" s="17">
        <v>0.24168184959865099</v>
      </c>
      <c r="J11" s="17">
        <v>0.21697246708388199</v>
      </c>
      <c r="K11" s="17">
        <v>0.25996667085643699</v>
      </c>
      <c r="L11" s="17">
        <v>0.27236090915969202</v>
      </c>
      <c r="M11" s="17"/>
      <c r="N11" s="17">
        <v>0.19663092265455501</v>
      </c>
      <c r="O11" s="17">
        <v>0.15867817886068999</v>
      </c>
      <c r="P11" s="17">
        <v>0.188058164955024</v>
      </c>
      <c r="Q11" s="17">
        <v>0.255982624832856</v>
      </c>
      <c r="R11" s="17">
        <v>0.29404549864066998</v>
      </c>
      <c r="S11" s="17">
        <v>0.15137146114300301</v>
      </c>
      <c r="T11" s="17">
        <v>0.31615284923978998</v>
      </c>
      <c r="U11" s="17">
        <v>0.322584993648378</v>
      </c>
      <c r="V11" s="17">
        <v>0.19504520682873699</v>
      </c>
      <c r="W11" s="17"/>
      <c r="X11" s="17">
        <v>0.26422137204802199</v>
      </c>
      <c r="Y11" s="17">
        <v>0.23689174533767299</v>
      </c>
    </row>
    <row r="12" spans="2:25" x14ac:dyDescent="0.35">
      <c r="B12" s="18" t="s">
        <v>472</v>
      </c>
      <c r="C12" s="17">
        <v>0.24456714105694399</v>
      </c>
      <c r="D12" s="17">
        <v>0.28595070630776098</v>
      </c>
      <c r="E12" s="17">
        <v>0.205468730868894</v>
      </c>
      <c r="F12" s="17"/>
      <c r="G12" s="17">
        <v>0.38424867631963699</v>
      </c>
      <c r="H12" s="17">
        <v>0.27440305600735199</v>
      </c>
      <c r="I12" s="17">
        <v>0.30179266870404903</v>
      </c>
      <c r="J12" s="17">
        <v>0.23441659556328601</v>
      </c>
      <c r="K12" s="17">
        <v>0.210686118015462</v>
      </c>
      <c r="L12" s="17">
        <v>0.167452742610189</v>
      </c>
      <c r="M12" s="17"/>
      <c r="N12" s="17">
        <v>0.223225162296147</v>
      </c>
      <c r="O12" s="17">
        <v>0.19606704288083501</v>
      </c>
      <c r="P12" s="17">
        <v>0.19914768275103201</v>
      </c>
      <c r="Q12" s="17">
        <v>0.28213099876192099</v>
      </c>
      <c r="R12" s="17">
        <v>0.25218577496987399</v>
      </c>
      <c r="S12" s="17">
        <v>0.18559935546483</v>
      </c>
      <c r="T12" s="17">
        <v>0.29367401531910797</v>
      </c>
      <c r="U12" s="17">
        <v>0.27760418154427602</v>
      </c>
      <c r="V12" s="17">
        <v>0.22256284306587701</v>
      </c>
      <c r="W12" s="17"/>
      <c r="X12" s="17">
        <v>0.28003584862708503</v>
      </c>
      <c r="Y12" s="17">
        <v>0.22493994557067001</v>
      </c>
    </row>
    <row r="13" spans="2:25" x14ac:dyDescent="0.35">
      <c r="B13" s="18" t="s">
        <v>469</v>
      </c>
      <c r="C13" s="17">
        <v>0.244226424679445</v>
      </c>
      <c r="D13" s="17">
        <v>0.27061177016954002</v>
      </c>
      <c r="E13" s="17">
        <v>0.21895062837866899</v>
      </c>
      <c r="F13" s="17"/>
      <c r="G13" s="17">
        <v>0.32483247340431798</v>
      </c>
      <c r="H13" s="17">
        <v>0.28843090087526102</v>
      </c>
      <c r="I13" s="17">
        <v>0.25974583632730103</v>
      </c>
      <c r="J13" s="17">
        <v>0.21767838921923</v>
      </c>
      <c r="K13" s="17">
        <v>0.223892443122201</v>
      </c>
      <c r="L13" s="17">
        <v>0.20963158566535001</v>
      </c>
      <c r="M13" s="17"/>
      <c r="N13" s="17">
        <v>0.22975974458621101</v>
      </c>
      <c r="O13" s="17">
        <v>0.20762975421906901</v>
      </c>
      <c r="P13" s="17">
        <v>0.19601218822775501</v>
      </c>
      <c r="Q13" s="17">
        <v>0.22962075477302399</v>
      </c>
      <c r="R13" s="17">
        <v>0.301553093628178</v>
      </c>
      <c r="S13" s="17">
        <v>0.160356729225624</v>
      </c>
      <c r="T13" s="17">
        <v>0.32270028406751999</v>
      </c>
      <c r="U13" s="17">
        <v>0.25575202570547401</v>
      </c>
      <c r="V13" s="17">
        <v>0.26770961877051103</v>
      </c>
      <c r="W13" s="17"/>
      <c r="X13" s="17">
        <v>0.25991234190025497</v>
      </c>
      <c r="Y13" s="17">
        <v>0.23554636316140001</v>
      </c>
    </row>
    <row r="14" spans="2:25" ht="43.5" x14ac:dyDescent="0.35">
      <c r="B14" s="18" t="s">
        <v>468</v>
      </c>
      <c r="C14" s="17">
        <v>0.23756611693530499</v>
      </c>
      <c r="D14" s="17">
        <v>0.25700858298262003</v>
      </c>
      <c r="E14" s="17">
        <v>0.21880090249744899</v>
      </c>
      <c r="F14" s="17"/>
      <c r="G14" s="17">
        <v>0.34736058017395399</v>
      </c>
      <c r="H14" s="17">
        <v>0.26974482183479598</v>
      </c>
      <c r="I14" s="17">
        <v>0.25374814197485002</v>
      </c>
      <c r="J14" s="17">
        <v>0.219811308476169</v>
      </c>
      <c r="K14" s="17">
        <v>0.200033854940838</v>
      </c>
      <c r="L14" s="17">
        <v>0.20411434537668599</v>
      </c>
      <c r="M14" s="17"/>
      <c r="N14" s="17">
        <v>0.34521388950151199</v>
      </c>
      <c r="O14" s="17">
        <v>0.22930380080641199</v>
      </c>
      <c r="P14" s="17">
        <v>0.13877666431383401</v>
      </c>
      <c r="Q14" s="17">
        <v>0.25044404273770898</v>
      </c>
      <c r="R14" s="17">
        <v>0.20772386100811699</v>
      </c>
      <c r="S14" s="17">
        <v>0.21475395393616001</v>
      </c>
      <c r="T14" s="17">
        <v>0.29106404621043802</v>
      </c>
      <c r="U14" s="17">
        <v>0.28719652432399001</v>
      </c>
      <c r="V14" s="17">
        <v>0.273330946794968</v>
      </c>
      <c r="W14" s="17"/>
      <c r="X14" s="17">
        <v>0.25950283384998801</v>
      </c>
      <c r="Y14" s="17">
        <v>0.22542707210656099</v>
      </c>
    </row>
    <row r="15" spans="2:25" x14ac:dyDescent="0.35">
      <c r="B15" s="18" t="s">
        <v>470</v>
      </c>
      <c r="C15" s="17">
        <v>0.17309535448129601</v>
      </c>
      <c r="D15" s="17">
        <v>0.219238875127753</v>
      </c>
      <c r="E15" s="17">
        <v>0.12950708616628301</v>
      </c>
      <c r="F15" s="17"/>
      <c r="G15" s="17">
        <v>0.248434944045828</v>
      </c>
      <c r="H15" s="17">
        <v>0.20342387375665899</v>
      </c>
      <c r="I15" s="17">
        <v>0.20209181650532401</v>
      </c>
      <c r="J15" s="17">
        <v>0.19326315751318601</v>
      </c>
      <c r="K15" s="17">
        <v>0.15406634442405001</v>
      </c>
      <c r="L15" s="17">
        <v>0.10724770135634699</v>
      </c>
      <c r="M15" s="17"/>
      <c r="N15" s="17">
        <v>0.141388728795482</v>
      </c>
      <c r="O15" s="17">
        <v>0.15793394569536801</v>
      </c>
      <c r="P15" s="17">
        <v>0.13557144582675201</v>
      </c>
      <c r="Q15" s="17">
        <v>0.143014252072307</v>
      </c>
      <c r="R15" s="17">
        <v>0.176413375463951</v>
      </c>
      <c r="S15" s="17">
        <v>0.1083907329217</v>
      </c>
      <c r="T15" s="17">
        <v>0.18596935541870499</v>
      </c>
      <c r="U15" s="17">
        <v>0.28394774721148802</v>
      </c>
      <c r="V15" s="17">
        <v>0.20887133122378199</v>
      </c>
      <c r="W15" s="17"/>
      <c r="X15" s="17">
        <v>0.20469893195022501</v>
      </c>
      <c r="Y15" s="17">
        <v>0.155606992611284</v>
      </c>
    </row>
    <row r="16" spans="2:25" ht="29" x14ac:dyDescent="0.35">
      <c r="B16" s="18" t="s">
        <v>475</v>
      </c>
      <c r="C16" s="17">
        <v>0.161098009644948</v>
      </c>
      <c r="D16" s="17">
        <v>0.18251818564562899</v>
      </c>
      <c r="E16" s="17">
        <v>0.141015882338582</v>
      </c>
      <c r="F16" s="17"/>
      <c r="G16" s="17">
        <v>0.25489809485811299</v>
      </c>
      <c r="H16" s="17">
        <v>0.203687892426411</v>
      </c>
      <c r="I16" s="17">
        <v>0.22072455224156901</v>
      </c>
      <c r="J16" s="17">
        <v>0.17594665672089399</v>
      </c>
      <c r="K16" s="17">
        <v>0.14384088534429201</v>
      </c>
      <c r="L16" s="17">
        <v>6.3942602351241398E-2</v>
      </c>
      <c r="M16" s="17"/>
      <c r="N16" s="17">
        <v>0.152149984292308</v>
      </c>
      <c r="O16" s="17">
        <v>0.201708674908959</v>
      </c>
      <c r="P16" s="17">
        <v>0.108386534114708</v>
      </c>
      <c r="Q16" s="17">
        <v>0.180135995451769</v>
      </c>
      <c r="R16" s="17">
        <v>0.164715074999192</v>
      </c>
      <c r="S16" s="17">
        <v>9.1879241210375107E-2</v>
      </c>
      <c r="T16" s="17">
        <v>0.20663944531779399</v>
      </c>
      <c r="U16" s="17">
        <v>0.20882748816678301</v>
      </c>
      <c r="V16" s="17">
        <v>0.160214669314522</v>
      </c>
      <c r="W16" s="17"/>
      <c r="X16" s="17">
        <v>0.204761274151044</v>
      </c>
      <c r="Y16" s="17">
        <v>0.13693622065573099</v>
      </c>
    </row>
    <row r="17" spans="2:25" x14ac:dyDescent="0.35">
      <c r="B17" s="18" t="s">
        <v>479</v>
      </c>
      <c r="C17" s="17">
        <v>0.100554528216092</v>
      </c>
      <c r="D17" s="17">
        <v>0.125828749686622</v>
      </c>
      <c r="E17" s="17">
        <v>7.6569120070118304E-2</v>
      </c>
      <c r="F17" s="17"/>
      <c r="G17" s="17">
        <v>0.16435499275649501</v>
      </c>
      <c r="H17" s="17">
        <v>0.12932551087962299</v>
      </c>
      <c r="I17" s="17">
        <v>0.12615340699379901</v>
      </c>
      <c r="J17" s="17">
        <v>9.1225241852253197E-2</v>
      </c>
      <c r="K17" s="17">
        <v>8.8730605948269203E-2</v>
      </c>
      <c r="L17" s="17">
        <v>5.7516827045476497E-2</v>
      </c>
      <c r="M17" s="17"/>
      <c r="N17" s="17">
        <v>8.6859289068087195E-2</v>
      </c>
      <c r="O17" s="17">
        <v>8.3537060510305003E-2</v>
      </c>
      <c r="P17" s="17">
        <v>9.9618389875511096E-2</v>
      </c>
      <c r="Q17" s="17">
        <v>8.3109094388039803E-2</v>
      </c>
      <c r="R17" s="17">
        <v>8.8865587214258898E-2</v>
      </c>
      <c r="S17" s="17">
        <v>7.1723324354810894E-2</v>
      </c>
      <c r="T17" s="17">
        <v>0.13603341916492601</v>
      </c>
      <c r="U17" s="17">
        <v>0.13000648981753701</v>
      </c>
      <c r="V17" s="17">
        <v>0.100617604641682</v>
      </c>
      <c r="W17" s="17"/>
      <c r="X17" s="17">
        <v>0.11700097380463</v>
      </c>
      <c r="Y17" s="17">
        <v>9.1453615757349394E-2</v>
      </c>
    </row>
    <row r="18" spans="2:25" ht="29" x14ac:dyDescent="0.35">
      <c r="B18" s="18" t="s">
        <v>476</v>
      </c>
      <c r="C18" s="17">
        <v>9.4658171505189001E-2</v>
      </c>
      <c r="D18" s="17">
        <v>0.13410502484862499</v>
      </c>
      <c r="E18" s="17">
        <v>5.7577095452891199E-2</v>
      </c>
      <c r="F18" s="17"/>
      <c r="G18" s="17">
        <v>0.19803006834900799</v>
      </c>
      <c r="H18" s="17">
        <v>0.166752912007396</v>
      </c>
      <c r="I18" s="17">
        <v>0.12315691755001799</v>
      </c>
      <c r="J18" s="17">
        <v>7.7922384664630001E-2</v>
      </c>
      <c r="K18" s="17">
        <v>5.73557084983728E-2</v>
      </c>
      <c r="L18" s="17">
        <v>3.1218643178129599E-2</v>
      </c>
      <c r="M18" s="17"/>
      <c r="N18" s="17">
        <v>0.12002167228871399</v>
      </c>
      <c r="O18" s="17">
        <v>4.4976831707463603E-2</v>
      </c>
      <c r="P18" s="17">
        <v>6.99340844437326E-2</v>
      </c>
      <c r="Q18" s="17">
        <v>9.6510151683181097E-2</v>
      </c>
      <c r="R18" s="17">
        <v>0.104267537543293</v>
      </c>
      <c r="S18" s="17">
        <v>8.8949342729553293E-2</v>
      </c>
      <c r="T18" s="17">
        <v>9.7652334830554993E-2</v>
      </c>
      <c r="U18" s="17">
        <v>0.113967129389002</v>
      </c>
      <c r="V18" s="17">
        <v>9.7673589297471206E-2</v>
      </c>
      <c r="W18" s="17"/>
      <c r="X18" s="17">
        <v>0.12473207297705401</v>
      </c>
      <c r="Y18" s="17">
        <v>7.8016281127426104E-2</v>
      </c>
    </row>
    <row r="19" spans="2:25" x14ac:dyDescent="0.35">
      <c r="B19" s="18" t="s">
        <v>474</v>
      </c>
      <c r="C19" s="17">
        <v>9.1085502350880601E-2</v>
      </c>
      <c r="D19" s="17">
        <v>0.11387967910088199</v>
      </c>
      <c r="E19" s="17">
        <v>6.88118884983175E-2</v>
      </c>
      <c r="F19" s="17"/>
      <c r="G19" s="17">
        <v>0.15301780881528701</v>
      </c>
      <c r="H19" s="17">
        <v>0.13284680912136501</v>
      </c>
      <c r="I19" s="17">
        <v>0.103661389173479</v>
      </c>
      <c r="J19" s="17">
        <v>7.7731259978925396E-2</v>
      </c>
      <c r="K19" s="17">
        <v>8.4009523373324402E-2</v>
      </c>
      <c r="L19" s="17">
        <v>4.9031847478152597E-2</v>
      </c>
      <c r="M19" s="17"/>
      <c r="N19" s="17">
        <v>6.5137203131470103E-2</v>
      </c>
      <c r="O19" s="17">
        <v>5.1722964494764101E-2</v>
      </c>
      <c r="P19" s="17">
        <v>6.6102303886766106E-2</v>
      </c>
      <c r="Q19" s="17">
        <v>6.7361902397459705E-2</v>
      </c>
      <c r="R19" s="17">
        <v>9.2937575209160794E-2</v>
      </c>
      <c r="S19" s="17">
        <v>5.8560499554355099E-2</v>
      </c>
      <c r="T19" s="17">
        <v>0.136615079035216</v>
      </c>
      <c r="U19" s="17">
        <v>0.120825715617795</v>
      </c>
      <c r="V19" s="17">
        <v>0.13339671564147501</v>
      </c>
      <c r="W19" s="17"/>
      <c r="X19" s="17">
        <v>0.112032342758942</v>
      </c>
      <c r="Y19" s="17">
        <v>7.9494222045677201E-2</v>
      </c>
    </row>
    <row r="20" spans="2:25" x14ac:dyDescent="0.35">
      <c r="B20" s="18" t="s">
        <v>48</v>
      </c>
      <c r="C20" s="19">
        <v>0.26618556085149198</v>
      </c>
      <c r="D20" s="19">
        <v>0.22761494356186701</v>
      </c>
      <c r="E20" s="19">
        <v>0.30298679581416799</v>
      </c>
      <c r="F20" s="19"/>
      <c r="G20" s="19">
        <v>0.107505501692334</v>
      </c>
      <c r="H20" s="19">
        <v>0.176881424716371</v>
      </c>
      <c r="I20" s="19">
        <v>0.20414703181226301</v>
      </c>
      <c r="J20" s="19">
        <v>0.27603496360105001</v>
      </c>
      <c r="K20" s="19">
        <v>0.33525085452508202</v>
      </c>
      <c r="L20" s="19">
        <v>0.36570862118659198</v>
      </c>
      <c r="M20" s="19"/>
      <c r="N20" s="19">
        <v>0.26927068135936999</v>
      </c>
      <c r="O20" s="19">
        <v>0.24634971710985901</v>
      </c>
      <c r="P20" s="19">
        <v>0.316681368997006</v>
      </c>
      <c r="Q20" s="19">
        <v>0.28883078462988299</v>
      </c>
      <c r="R20" s="19">
        <v>0.218456834111632</v>
      </c>
      <c r="S20" s="19">
        <v>0.42409801921818202</v>
      </c>
      <c r="T20" s="19">
        <v>0.15543474282445399</v>
      </c>
      <c r="U20" s="19">
        <v>0.188068192161255</v>
      </c>
      <c r="V20" s="19">
        <v>0.28895756549024099</v>
      </c>
      <c r="W20" s="19"/>
      <c r="X20" s="19">
        <v>0.21293639245454199</v>
      </c>
      <c r="Y20" s="19">
        <v>0.29565186817441003</v>
      </c>
    </row>
    <row r="21" spans="2:25" x14ac:dyDescent="0.35">
      <c r="B21" s="16"/>
    </row>
    <row r="22" spans="2:25" x14ac:dyDescent="0.35">
      <c r="B22" t="s">
        <v>51</v>
      </c>
    </row>
    <row r="23" spans="2:25" x14ac:dyDescent="0.35">
      <c r="B23" t="s">
        <v>52</v>
      </c>
    </row>
    <row r="25" spans="2:25" x14ac:dyDescent="0.35">
      <c r="B25" s="8" t="str">
        <f>HYPERLINK("#'Contents'!A1", "Return to Contents")</f>
        <v>Return to Contents</v>
      </c>
    </row>
  </sheetData>
  <mergeCells count="5">
    <mergeCell ref="D5:E5"/>
    <mergeCell ref="G5:L5"/>
    <mergeCell ref="N5:V5"/>
    <mergeCell ref="X5:Y5"/>
    <mergeCell ref="D2:W2"/>
  </mergeCells>
  <pageMargins left="0.7" right="0.7" top="0.75" bottom="0.75" header="0.3" footer="0.3"/>
  <pageSetup paperSize="9" orientation="portrait" horizontalDpi="300" verticalDpi="300"/>
  <drawing r:id="rId1"/>
</worksheet>
</file>

<file path=xl/worksheets/sheet1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900-000000000000}">
  <dimension ref="B2:H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8" width="20.7265625" customWidth="1"/>
  </cols>
  <sheetData>
    <row r="2" spans="2:8" ht="40" customHeight="1" x14ac:dyDescent="0.35">
      <c r="D2" s="30" t="s">
        <v>493</v>
      </c>
      <c r="E2" s="26"/>
      <c r="F2" s="26"/>
      <c r="G2" s="26"/>
      <c r="H2" s="26"/>
    </row>
    <row r="6" spans="2:8" ht="50" customHeight="1" x14ac:dyDescent="0.35">
      <c r="B6" s="20" t="s">
        <v>15</v>
      </c>
      <c r="C6" s="20" t="s">
        <v>481</v>
      </c>
      <c r="D6" s="20" t="s">
        <v>482</v>
      </c>
      <c r="E6" s="20" t="s">
        <v>483</v>
      </c>
      <c r="F6" s="20" t="s">
        <v>484</v>
      </c>
      <c r="G6" s="20" t="s">
        <v>485</v>
      </c>
    </row>
    <row r="7" spans="2:8" x14ac:dyDescent="0.35">
      <c r="B7" s="18" t="s">
        <v>486</v>
      </c>
      <c r="C7" s="17">
        <v>0.37956775033770601</v>
      </c>
      <c r="D7" s="17">
        <v>0.32792663755999202</v>
      </c>
      <c r="E7" s="17">
        <v>0.35297194314498798</v>
      </c>
      <c r="F7" s="17">
        <v>0.101982557768837</v>
      </c>
      <c r="G7" s="17">
        <v>5.8674904463745001E-2</v>
      </c>
    </row>
    <row r="8" spans="2:8" x14ac:dyDescent="0.35">
      <c r="B8" s="18" t="s">
        <v>487</v>
      </c>
      <c r="C8" s="17">
        <v>0.425578677914142</v>
      </c>
      <c r="D8" s="17">
        <v>0.40012397545023998</v>
      </c>
      <c r="E8" s="17">
        <v>0.32903883347586699</v>
      </c>
      <c r="F8" s="17">
        <v>0.28154349925150102</v>
      </c>
      <c r="G8" s="17">
        <v>0.19149971347618999</v>
      </c>
    </row>
    <row r="9" spans="2:8" x14ac:dyDescent="0.35">
      <c r="B9" s="18" t="s">
        <v>488</v>
      </c>
      <c r="C9" s="17">
        <v>0.130714566752369</v>
      </c>
      <c r="D9" s="17">
        <v>0.163860634657923</v>
      </c>
      <c r="E9" s="17">
        <v>0.18328152897519701</v>
      </c>
      <c r="F9" s="17">
        <v>0.32623851336690302</v>
      </c>
      <c r="G9" s="17">
        <v>0.31043996351824499</v>
      </c>
    </row>
    <row r="10" spans="2:8" x14ac:dyDescent="0.35">
      <c r="B10" s="18" t="s">
        <v>489</v>
      </c>
      <c r="C10" s="17">
        <v>2.1282221781412501E-2</v>
      </c>
      <c r="D10" s="17">
        <v>3.03528378479129E-2</v>
      </c>
      <c r="E10" s="17">
        <v>5.5273012981920097E-2</v>
      </c>
      <c r="F10" s="17">
        <v>0.12698683081454901</v>
      </c>
      <c r="G10" s="17">
        <v>0.211755282314917</v>
      </c>
    </row>
    <row r="11" spans="2:8" x14ac:dyDescent="0.35">
      <c r="B11" s="18" t="s">
        <v>490</v>
      </c>
      <c r="C11" s="17">
        <v>1.1750991435995501E-2</v>
      </c>
      <c r="D11" s="17">
        <v>1.52687891467776E-2</v>
      </c>
      <c r="E11" s="17">
        <v>3.8273379928196002E-2</v>
      </c>
      <c r="F11" s="17">
        <v>3.58435299725045E-2</v>
      </c>
      <c r="G11" s="17">
        <v>0.13196981914543399</v>
      </c>
    </row>
    <row r="12" spans="2:8" x14ac:dyDescent="0.35">
      <c r="B12" s="18" t="s">
        <v>80</v>
      </c>
      <c r="C12" s="17">
        <v>3.11057917783754E-2</v>
      </c>
      <c r="D12" s="17">
        <v>6.2467125337155101E-2</v>
      </c>
      <c r="E12" s="17">
        <v>4.1161301493832098E-2</v>
      </c>
      <c r="F12" s="17">
        <v>0.12740506882570499</v>
      </c>
      <c r="G12" s="17">
        <v>9.5660317081469798E-2</v>
      </c>
    </row>
    <row r="13" spans="2:8" x14ac:dyDescent="0.35">
      <c r="B13" s="23" t="s">
        <v>491</v>
      </c>
      <c r="C13" s="21">
        <v>0.80514642825184801</v>
      </c>
      <c r="D13" s="21">
        <v>0.728050613010231</v>
      </c>
      <c r="E13" s="21">
        <v>0.68201077662085496</v>
      </c>
      <c r="F13" s="21">
        <v>0.38352605702033798</v>
      </c>
      <c r="G13" s="21">
        <v>0.25017461793993501</v>
      </c>
    </row>
    <row r="14" spans="2:8" x14ac:dyDescent="0.35">
      <c r="B14" s="23" t="s">
        <v>492</v>
      </c>
      <c r="C14" s="21">
        <v>3.3033213217408097E-2</v>
      </c>
      <c r="D14" s="21">
        <v>4.5621626994690502E-2</v>
      </c>
      <c r="E14" s="21">
        <v>9.3546392910116197E-2</v>
      </c>
      <c r="F14" s="21">
        <v>0.16283036078705401</v>
      </c>
      <c r="G14" s="21">
        <v>0.34372510146035101</v>
      </c>
    </row>
    <row r="15" spans="2:8" x14ac:dyDescent="0.35">
      <c r="B15" s="23" t="s">
        <v>92</v>
      </c>
      <c r="C15" s="22">
        <v>0.77211321503443997</v>
      </c>
      <c r="D15" s="22">
        <v>0.68242898601554103</v>
      </c>
      <c r="E15" s="22">
        <v>0.58846438371073795</v>
      </c>
      <c r="F15" s="22">
        <v>0.220695696233284</v>
      </c>
      <c r="G15" s="22">
        <v>-9.3550483520416394E-2</v>
      </c>
    </row>
    <row r="16" spans="2:8" x14ac:dyDescent="0.35">
      <c r="B16" s="16"/>
      <c r="C16" s="16"/>
      <c r="D16" s="16"/>
      <c r="E16" s="16"/>
      <c r="F16" s="16"/>
      <c r="G16" s="16"/>
    </row>
    <row r="17" spans="2:2" x14ac:dyDescent="0.35">
      <c r="B17" t="s">
        <v>51</v>
      </c>
    </row>
    <row r="18" spans="2:2" x14ac:dyDescent="0.35">
      <c r="B18" t="s">
        <v>52</v>
      </c>
    </row>
    <row r="22" spans="2:2" x14ac:dyDescent="0.35">
      <c r="B22" s="8" t="str">
        <f>HYPERLINK("#'Contents'!A1", "Return to Contents")</f>
        <v>Return to Contents</v>
      </c>
    </row>
  </sheetData>
  <mergeCells count="1">
    <mergeCell ref="D2:H2"/>
  </mergeCells>
  <pageMargins left="0.7" right="0.7" top="0.75" bottom="0.75" header="0.3" footer="0.3"/>
  <pageSetup paperSize="9" orientation="portrait" horizontalDpi="300" verticalDpi="300"/>
  <drawing r:id="rId1"/>
</worksheet>
</file>

<file path=xl/worksheets/sheet1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A00-000000000000}">
  <dimension ref="B2:Y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s>
  <sheetData>
    <row r="2" spans="2:25" ht="40" customHeight="1" x14ac:dyDescent="0.35">
      <c r="D2" s="30" t="s">
        <v>494</v>
      </c>
      <c r="E2" s="26"/>
      <c r="F2" s="26"/>
      <c r="G2" s="26"/>
      <c r="H2" s="26"/>
      <c r="I2" s="26"/>
      <c r="J2" s="26"/>
      <c r="K2" s="26"/>
      <c r="L2" s="26"/>
      <c r="M2" s="26"/>
      <c r="N2" s="26"/>
      <c r="O2" s="26"/>
      <c r="P2" s="26"/>
      <c r="Q2" s="26"/>
      <c r="R2" s="26"/>
      <c r="S2" s="26"/>
      <c r="T2" s="26"/>
      <c r="U2" s="26"/>
      <c r="V2" s="26"/>
      <c r="W2" s="26"/>
    </row>
    <row r="5" spans="2:25" ht="30" customHeight="1" x14ac:dyDescent="0.35">
      <c r="B5" s="15"/>
      <c r="C5" s="15"/>
      <c r="D5" s="29" t="s">
        <v>38</v>
      </c>
      <c r="E5" s="29"/>
      <c r="F5" s="15"/>
      <c r="G5" s="29" t="s">
        <v>39</v>
      </c>
      <c r="H5" s="29"/>
      <c r="I5" s="29"/>
      <c r="J5" s="29"/>
      <c r="K5" s="29"/>
      <c r="L5" s="29"/>
      <c r="M5" s="15"/>
      <c r="N5" s="29" t="s">
        <v>40</v>
      </c>
      <c r="O5" s="29"/>
      <c r="P5" s="29"/>
      <c r="Q5" s="29"/>
      <c r="R5" s="29"/>
      <c r="S5" s="29"/>
      <c r="T5" s="29"/>
      <c r="U5" s="29"/>
      <c r="V5" s="29"/>
      <c r="W5" s="15"/>
      <c r="X5" s="29" t="s">
        <v>41</v>
      </c>
      <c r="Y5" s="29"/>
    </row>
    <row r="6" spans="2:25" ht="29"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row>
    <row r="7" spans="2:25" ht="30" customHeight="1" x14ac:dyDescent="0.35">
      <c r="B7" s="10" t="s">
        <v>19</v>
      </c>
      <c r="C7" s="10">
        <v>6838</v>
      </c>
      <c r="D7" s="10">
        <v>3283</v>
      </c>
      <c r="E7" s="10">
        <v>3541</v>
      </c>
      <c r="F7" s="10"/>
      <c r="G7" s="10">
        <v>635</v>
      </c>
      <c r="H7" s="10">
        <v>1075</v>
      </c>
      <c r="I7" s="10">
        <v>1093</v>
      </c>
      <c r="J7" s="10">
        <v>1228</v>
      </c>
      <c r="K7" s="10">
        <v>1156</v>
      </c>
      <c r="L7" s="10">
        <v>1651</v>
      </c>
      <c r="M7" s="10"/>
      <c r="N7" s="10">
        <v>208</v>
      </c>
      <c r="O7" s="10">
        <v>200</v>
      </c>
      <c r="P7" s="10">
        <v>1002</v>
      </c>
      <c r="Q7" s="10">
        <v>1000</v>
      </c>
      <c r="R7" s="10">
        <v>1004</v>
      </c>
      <c r="S7" s="10">
        <v>1006</v>
      </c>
      <c r="T7" s="10">
        <v>1006</v>
      </c>
      <c r="U7" s="10">
        <v>1007</v>
      </c>
      <c r="V7" s="10">
        <v>405</v>
      </c>
      <c r="W7" s="10"/>
      <c r="X7" s="10">
        <v>2650</v>
      </c>
      <c r="Y7" s="10">
        <v>4188</v>
      </c>
    </row>
    <row r="8" spans="2:25" ht="30" customHeight="1" x14ac:dyDescent="0.35">
      <c r="B8" s="11" t="s">
        <v>20</v>
      </c>
      <c r="C8" s="11">
        <v>6838</v>
      </c>
      <c r="D8" s="11">
        <v>3309</v>
      </c>
      <c r="E8" s="11">
        <v>3515</v>
      </c>
      <c r="F8" s="11"/>
      <c r="G8" s="11">
        <v>645</v>
      </c>
      <c r="H8" s="11">
        <v>1026</v>
      </c>
      <c r="I8" s="11">
        <v>1111</v>
      </c>
      <c r="J8" s="11">
        <v>1184</v>
      </c>
      <c r="K8" s="11">
        <v>1140</v>
      </c>
      <c r="L8" s="11">
        <v>1732</v>
      </c>
      <c r="M8" s="11"/>
      <c r="N8" s="11">
        <v>208</v>
      </c>
      <c r="O8" s="11">
        <v>200</v>
      </c>
      <c r="P8" s="11">
        <v>1002</v>
      </c>
      <c r="Q8" s="11">
        <v>1000</v>
      </c>
      <c r="R8" s="11">
        <v>1004</v>
      </c>
      <c r="S8" s="11">
        <v>1006</v>
      </c>
      <c r="T8" s="11">
        <v>1006</v>
      </c>
      <c r="U8" s="11">
        <v>1007</v>
      </c>
      <c r="V8" s="11">
        <v>405</v>
      </c>
      <c r="W8" s="11"/>
      <c r="X8" s="11">
        <v>2436</v>
      </c>
      <c r="Y8" s="11">
        <v>4402</v>
      </c>
    </row>
    <row r="9" spans="2:25" x14ac:dyDescent="0.35">
      <c r="B9" s="18" t="s">
        <v>486</v>
      </c>
      <c r="C9" s="17">
        <v>0.32792663755999202</v>
      </c>
      <c r="D9" s="17">
        <v>0.37069813036344901</v>
      </c>
      <c r="E9" s="17">
        <v>0.28760379949783499</v>
      </c>
      <c r="F9" s="17"/>
      <c r="G9" s="17">
        <v>0.28523933241291999</v>
      </c>
      <c r="H9" s="17">
        <v>0.32293537014009399</v>
      </c>
      <c r="I9" s="17">
        <v>0.315306281816703</v>
      </c>
      <c r="J9" s="17">
        <v>0.32595922452807102</v>
      </c>
      <c r="K9" s="17">
        <v>0.32412852660793201</v>
      </c>
      <c r="L9" s="17">
        <v>0.35870711551346901</v>
      </c>
      <c r="M9" s="17"/>
      <c r="N9" s="17">
        <v>0.289623782569563</v>
      </c>
      <c r="O9" s="17">
        <v>0.260842869298203</v>
      </c>
      <c r="P9" s="17">
        <v>0.21568357444299099</v>
      </c>
      <c r="Q9" s="17">
        <v>0.36006050936302803</v>
      </c>
      <c r="R9" s="17">
        <v>0.36035729417774398</v>
      </c>
      <c r="S9" s="17">
        <v>0.23455111875576001</v>
      </c>
      <c r="T9" s="17">
        <v>0.38641478926996498</v>
      </c>
      <c r="U9" s="17">
        <v>0.43981876872569398</v>
      </c>
      <c r="V9" s="17">
        <v>0.307132466940985</v>
      </c>
      <c r="W9" s="17"/>
      <c r="X9" s="17">
        <v>0.37590355251356</v>
      </c>
      <c r="Y9" s="17">
        <v>0.30137781880870701</v>
      </c>
    </row>
    <row r="10" spans="2:25" x14ac:dyDescent="0.35">
      <c r="B10" s="18" t="s">
        <v>487</v>
      </c>
      <c r="C10" s="17">
        <v>0.40012397545023998</v>
      </c>
      <c r="D10" s="17">
        <v>0.39295773312393301</v>
      </c>
      <c r="E10" s="17">
        <v>0.40702251104786802</v>
      </c>
      <c r="F10" s="17"/>
      <c r="G10" s="17">
        <v>0.39257029057201198</v>
      </c>
      <c r="H10" s="17">
        <v>0.40054714434880001</v>
      </c>
      <c r="I10" s="17">
        <v>0.40237180658817701</v>
      </c>
      <c r="J10" s="17">
        <v>0.39246302057321802</v>
      </c>
      <c r="K10" s="17">
        <v>0.40970351433461399</v>
      </c>
      <c r="L10" s="17">
        <v>0.40017233475324898</v>
      </c>
      <c r="M10" s="17"/>
      <c r="N10" s="17">
        <v>0.40771272114872698</v>
      </c>
      <c r="O10" s="17">
        <v>0.45733993162262299</v>
      </c>
      <c r="P10" s="17">
        <v>0.37597751921971401</v>
      </c>
      <c r="Q10" s="17">
        <v>0.40102382403822401</v>
      </c>
      <c r="R10" s="17">
        <v>0.43134743018188698</v>
      </c>
      <c r="S10" s="17">
        <v>0.40480396380379802</v>
      </c>
      <c r="T10" s="17">
        <v>0.43449028889032099</v>
      </c>
      <c r="U10" s="17">
        <v>0.351109751759482</v>
      </c>
      <c r="V10" s="17">
        <v>0.37296754413384298</v>
      </c>
      <c r="W10" s="17"/>
      <c r="X10" s="17">
        <v>0.408176886586893</v>
      </c>
      <c r="Y10" s="17">
        <v>0.39566776399116399</v>
      </c>
    </row>
    <row r="11" spans="2:25" x14ac:dyDescent="0.35">
      <c r="B11" s="18" t="s">
        <v>488</v>
      </c>
      <c r="C11" s="17">
        <v>0.163860634657923</v>
      </c>
      <c r="D11" s="17">
        <v>0.15399519732203101</v>
      </c>
      <c r="E11" s="17">
        <v>0.173479085841129</v>
      </c>
      <c r="F11" s="17"/>
      <c r="G11" s="17">
        <v>0.223837294738813</v>
      </c>
      <c r="H11" s="17">
        <v>0.17524129959427101</v>
      </c>
      <c r="I11" s="17">
        <v>0.17138139178836601</v>
      </c>
      <c r="J11" s="17">
        <v>0.16403830376648201</v>
      </c>
      <c r="K11" s="17">
        <v>0.15753683784611799</v>
      </c>
      <c r="L11" s="17">
        <v>0.134020159411226</v>
      </c>
      <c r="M11" s="17"/>
      <c r="N11" s="17">
        <v>0.18624762205277401</v>
      </c>
      <c r="O11" s="17">
        <v>0.19091421349575799</v>
      </c>
      <c r="P11" s="17">
        <v>0.23324880352233601</v>
      </c>
      <c r="Q11" s="17">
        <v>0.136824524146202</v>
      </c>
      <c r="R11" s="17">
        <v>0.149246462189667</v>
      </c>
      <c r="S11" s="17">
        <v>0.217250631605447</v>
      </c>
      <c r="T11" s="17">
        <v>9.3185542111375697E-2</v>
      </c>
      <c r="U11" s="17">
        <v>0.14115588923695399</v>
      </c>
      <c r="V11" s="17">
        <v>0.16970525227161401</v>
      </c>
      <c r="W11" s="17"/>
      <c r="X11" s="17">
        <v>0.135022516583996</v>
      </c>
      <c r="Y11" s="17">
        <v>0.17981868387000299</v>
      </c>
    </row>
    <row r="12" spans="2:25" x14ac:dyDescent="0.35">
      <c r="B12" s="18" t="s">
        <v>489</v>
      </c>
      <c r="C12" s="17">
        <v>3.03528378479129E-2</v>
      </c>
      <c r="D12" s="17">
        <v>2.9666229394808501E-2</v>
      </c>
      <c r="E12" s="17">
        <v>3.0838672367584599E-2</v>
      </c>
      <c r="F12" s="17"/>
      <c r="G12" s="17">
        <v>4.0168463547375098E-2</v>
      </c>
      <c r="H12" s="17">
        <v>3.5615642138204902E-2</v>
      </c>
      <c r="I12" s="17">
        <v>3.4725804224639598E-2</v>
      </c>
      <c r="J12" s="17">
        <v>2.7610628041434399E-2</v>
      </c>
      <c r="K12" s="17">
        <v>2.8994346658371001E-2</v>
      </c>
      <c r="L12" s="17">
        <v>2.3547504035379099E-2</v>
      </c>
      <c r="M12" s="17"/>
      <c r="N12" s="17">
        <v>8.6796622492157794E-3</v>
      </c>
      <c r="O12" s="17">
        <v>2.99778937002055E-2</v>
      </c>
      <c r="P12" s="17">
        <v>5.5078501707779101E-2</v>
      </c>
      <c r="Q12" s="17">
        <v>2.96990163081619E-2</v>
      </c>
      <c r="R12" s="17">
        <v>1.7118163507942399E-2</v>
      </c>
      <c r="S12" s="17">
        <v>4.04291130130928E-2</v>
      </c>
      <c r="T12" s="17">
        <v>2.5465896880124898E-2</v>
      </c>
      <c r="U12" s="17">
        <v>1.86994993144174E-2</v>
      </c>
      <c r="V12" s="17">
        <v>3.1004122895368399E-2</v>
      </c>
      <c r="W12" s="17"/>
      <c r="X12" s="17">
        <v>3.2811080199485199E-2</v>
      </c>
      <c r="Y12" s="17">
        <v>2.8992528818001601E-2</v>
      </c>
    </row>
    <row r="13" spans="2:25" x14ac:dyDescent="0.35">
      <c r="B13" s="18" t="s">
        <v>490</v>
      </c>
      <c r="C13" s="17">
        <v>1.52687891467776E-2</v>
      </c>
      <c r="D13" s="17">
        <v>1.5095667222266599E-2</v>
      </c>
      <c r="E13" s="17">
        <v>1.5492862926908799E-2</v>
      </c>
      <c r="F13" s="17"/>
      <c r="G13" s="17">
        <v>1.19049750861031E-2</v>
      </c>
      <c r="H13" s="17">
        <v>1.50180476105826E-2</v>
      </c>
      <c r="I13" s="17">
        <v>1.5637647722163601E-2</v>
      </c>
      <c r="J13" s="17">
        <v>2.1317150970153902E-2</v>
      </c>
      <c r="K13" s="17">
        <v>1.19451093459051E-2</v>
      </c>
      <c r="L13" s="17">
        <v>1.4487020216177799E-2</v>
      </c>
      <c r="M13" s="17"/>
      <c r="N13" s="17">
        <v>2.4174806744265399E-2</v>
      </c>
      <c r="O13" s="17">
        <v>1.19575106351798E-2</v>
      </c>
      <c r="P13" s="17">
        <v>3.0712816144645601E-2</v>
      </c>
      <c r="Q13" s="17">
        <v>1.12424627835612E-2</v>
      </c>
      <c r="R13" s="17">
        <v>1.20687285806629E-2</v>
      </c>
      <c r="S13" s="17">
        <v>1.36875458967145E-2</v>
      </c>
      <c r="T13" s="17">
        <v>1.00581747536252E-2</v>
      </c>
      <c r="U13" s="17">
        <v>1.25396468963419E-2</v>
      </c>
      <c r="V13" s="17">
        <v>1.5651335312302301E-2</v>
      </c>
      <c r="W13" s="17"/>
      <c r="X13" s="17">
        <v>1.4711696361399299E-2</v>
      </c>
      <c r="Y13" s="17">
        <v>1.55770656460267E-2</v>
      </c>
    </row>
    <row r="14" spans="2:25" x14ac:dyDescent="0.35">
      <c r="B14" s="18" t="s">
        <v>80</v>
      </c>
      <c r="C14" s="17">
        <v>6.2467125337155101E-2</v>
      </c>
      <c r="D14" s="17">
        <v>3.7587042573511302E-2</v>
      </c>
      <c r="E14" s="17">
        <v>8.5563068318674398E-2</v>
      </c>
      <c r="F14" s="17"/>
      <c r="G14" s="17">
        <v>4.6279643642777403E-2</v>
      </c>
      <c r="H14" s="17">
        <v>5.06424961680473E-2</v>
      </c>
      <c r="I14" s="17">
        <v>6.0577067859950498E-2</v>
      </c>
      <c r="J14" s="17">
        <v>6.8611672120641107E-2</v>
      </c>
      <c r="K14" s="17">
        <v>6.7691665207058604E-2</v>
      </c>
      <c r="L14" s="17">
        <v>6.9065866070498499E-2</v>
      </c>
      <c r="M14" s="17"/>
      <c r="N14" s="17">
        <v>8.3561405235455605E-2</v>
      </c>
      <c r="O14" s="17">
        <v>4.8967581248030703E-2</v>
      </c>
      <c r="P14" s="17">
        <v>8.9298784962534003E-2</v>
      </c>
      <c r="Q14" s="17">
        <v>6.1149663360823302E-2</v>
      </c>
      <c r="R14" s="17">
        <v>2.98619213620968E-2</v>
      </c>
      <c r="S14" s="17">
        <v>8.9277626925187398E-2</v>
      </c>
      <c r="T14" s="17">
        <v>5.0385308094588098E-2</v>
      </c>
      <c r="U14" s="17">
        <v>3.6676444067109799E-2</v>
      </c>
      <c r="V14" s="17">
        <v>0.10353927844588701</v>
      </c>
      <c r="W14" s="17"/>
      <c r="X14" s="17">
        <v>3.3374267754667203E-2</v>
      </c>
      <c r="Y14" s="17">
        <v>7.8566138866097507E-2</v>
      </c>
    </row>
    <row r="15" spans="2:25" x14ac:dyDescent="0.35">
      <c r="B15" s="18" t="s">
        <v>491</v>
      </c>
      <c r="C15" s="21">
        <v>0.728050613010231</v>
      </c>
      <c r="D15" s="21">
        <v>0.76365586348738201</v>
      </c>
      <c r="E15" s="21">
        <v>0.69462631054570301</v>
      </c>
      <c r="F15" s="21"/>
      <c r="G15" s="21">
        <v>0.67780962298493097</v>
      </c>
      <c r="H15" s="21">
        <v>0.723482514488894</v>
      </c>
      <c r="I15" s="21">
        <v>0.71767808840488001</v>
      </c>
      <c r="J15" s="21">
        <v>0.71842224510128905</v>
      </c>
      <c r="K15" s="21">
        <v>0.73383204094254695</v>
      </c>
      <c r="L15" s="21">
        <v>0.75887945026671799</v>
      </c>
      <c r="M15" s="21"/>
      <c r="N15" s="21">
        <v>0.69733650371828904</v>
      </c>
      <c r="O15" s="21">
        <v>0.71818280092082598</v>
      </c>
      <c r="P15" s="21">
        <v>0.59166109366270503</v>
      </c>
      <c r="Q15" s="21">
        <v>0.76108433340125203</v>
      </c>
      <c r="R15" s="21">
        <v>0.79170472435963102</v>
      </c>
      <c r="S15" s="21">
        <v>0.63935508255955797</v>
      </c>
      <c r="T15" s="21">
        <v>0.82090507816028602</v>
      </c>
      <c r="U15" s="21">
        <v>0.79092852048517703</v>
      </c>
      <c r="V15" s="21">
        <v>0.68010001107482898</v>
      </c>
      <c r="W15" s="21"/>
      <c r="X15" s="21">
        <v>0.784080439100452</v>
      </c>
      <c r="Y15" s="21">
        <v>0.69704558279987106</v>
      </c>
    </row>
    <row r="16" spans="2:25" x14ac:dyDescent="0.35">
      <c r="B16" s="18" t="s">
        <v>492</v>
      </c>
      <c r="C16" s="21">
        <v>4.5621626994690502E-2</v>
      </c>
      <c r="D16" s="21">
        <v>4.4761896617075102E-2</v>
      </c>
      <c r="E16" s="21">
        <v>4.6331535294493402E-2</v>
      </c>
      <c r="F16" s="21"/>
      <c r="G16" s="21">
        <v>5.20734386334782E-2</v>
      </c>
      <c r="H16" s="21">
        <v>5.06336897487875E-2</v>
      </c>
      <c r="I16" s="21">
        <v>5.0363451946803202E-2</v>
      </c>
      <c r="J16" s="21">
        <v>4.8927779011588401E-2</v>
      </c>
      <c r="K16" s="21">
        <v>4.0939456004276099E-2</v>
      </c>
      <c r="L16" s="21">
        <v>3.8034524251556803E-2</v>
      </c>
      <c r="M16" s="21"/>
      <c r="N16" s="21">
        <v>3.2854468993481198E-2</v>
      </c>
      <c r="O16" s="21">
        <v>4.1935404335385298E-2</v>
      </c>
      <c r="P16" s="21">
        <v>8.5791317852424706E-2</v>
      </c>
      <c r="Q16" s="21">
        <v>4.0941479091723097E-2</v>
      </c>
      <c r="R16" s="21">
        <v>2.9186892088605299E-2</v>
      </c>
      <c r="S16" s="21">
        <v>5.4116658909807297E-2</v>
      </c>
      <c r="T16" s="21">
        <v>3.5524071633750098E-2</v>
      </c>
      <c r="U16" s="21">
        <v>3.1239146210759301E-2</v>
      </c>
      <c r="V16" s="21">
        <v>4.6655458207670697E-2</v>
      </c>
      <c r="W16" s="21"/>
      <c r="X16" s="21">
        <v>4.7522776560884397E-2</v>
      </c>
      <c r="Y16" s="21">
        <v>4.4569594464028299E-2</v>
      </c>
    </row>
    <row r="17" spans="2:25" x14ac:dyDescent="0.35">
      <c r="B17" s="18" t="s">
        <v>92</v>
      </c>
      <c r="C17" s="22">
        <v>0.68242898601554103</v>
      </c>
      <c r="D17" s="22">
        <v>0.71889396687030704</v>
      </c>
      <c r="E17" s="22">
        <v>0.64829477525121004</v>
      </c>
      <c r="F17" s="22"/>
      <c r="G17" s="22">
        <v>0.62573618435145295</v>
      </c>
      <c r="H17" s="22">
        <v>0.67284882474010599</v>
      </c>
      <c r="I17" s="22">
        <v>0.66731463645807698</v>
      </c>
      <c r="J17" s="22">
        <v>0.66949446608970098</v>
      </c>
      <c r="K17" s="22">
        <v>0.69289258493827099</v>
      </c>
      <c r="L17" s="22">
        <v>0.72084492601516104</v>
      </c>
      <c r="M17" s="22"/>
      <c r="N17" s="22">
        <v>0.66448203472480805</v>
      </c>
      <c r="O17" s="22">
        <v>0.67624739658543997</v>
      </c>
      <c r="P17" s="22">
        <v>0.50586977581028003</v>
      </c>
      <c r="Q17" s="22">
        <v>0.72014285430952896</v>
      </c>
      <c r="R17" s="22">
        <v>0.76251783227102599</v>
      </c>
      <c r="S17" s="22">
        <v>0.58523842364974998</v>
      </c>
      <c r="T17" s="22">
        <v>0.78538100652653597</v>
      </c>
      <c r="U17" s="22">
        <v>0.75968937427441696</v>
      </c>
      <c r="V17" s="22">
        <v>0.63344455286715795</v>
      </c>
      <c r="W17" s="22"/>
      <c r="X17" s="22">
        <v>0.736557662539568</v>
      </c>
      <c r="Y17" s="22">
        <v>0.65247598833584197</v>
      </c>
    </row>
    <row r="18" spans="2:25" x14ac:dyDescent="0.35">
      <c r="B18" s="16"/>
    </row>
    <row r="19" spans="2:25" x14ac:dyDescent="0.35">
      <c r="B19" t="s">
        <v>51</v>
      </c>
    </row>
    <row r="20" spans="2:25" x14ac:dyDescent="0.35">
      <c r="B20" t="s">
        <v>52</v>
      </c>
    </row>
    <row r="22" spans="2:25" x14ac:dyDescent="0.35">
      <c r="B22" s="8" t="str">
        <f>HYPERLINK("#'Contents'!A1", "Return to Contents")</f>
        <v>Return to Contents</v>
      </c>
    </row>
  </sheetData>
  <mergeCells count="5">
    <mergeCell ref="D5:E5"/>
    <mergeCell ref="G5:L5"/>
    <mergeCell ref="N5:V5"/>
    <mergeCell ref="X5:Y5"/>
    <mergeCell ref="D2:W2"/>
  </mergeCells>
  <pageMargins left="0.7" right="0.7" top="0.75" bottom="0.75" header="0.3" footer="0.3"/>
  <pageSetup paperSize="9" orientation="portrait" horizontalDpi="300" verticalDpi="300"/>
  <drawing r:id="rId1"/>
</worksheet>
</file>

<file path=xl/worksheets/sheet1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B00-000000000000}">
  <dimension ref="B2:Y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s>
  <sheetData>
    <row r="2" spans="2:25" ht="40" customHeight="1" x14ac:dyDescent="0.35">
      <c r="D2" s="30" t="s">
        <v>495</v>
      </c>
      <c r="E2" s="26"/>
      <c r="F2" s="26"/>
      <c r="G2" s="26"/>
      <c r="H2" s="26"/>
      <c r="I2" s="26"/>
      <c r="J2" s="26"/>
      <c r="K2" s="26"/>
      <c r="L2" s="26"/>
      <c r="M2" s="26"/>
      <c r="N2" s="26"/>
      <c r="O2" s="26"/>
      <c r="P2" s="26"/>
      <c r="Q2" s="26"/>
      <c r="R2" s="26"/>
      <c r="S2" s="26"/>
      <c r="T2" s="26"/>
      <c r="U2" s="26"/>
      <c r="V2" s="26"/>
      <c r="W2" s="26"/>
    </row>
    <row r="5" spans="2:25" ht="30" customHeight="1" x14ac:dyDescent="0.35">
      <c r="B5" s="15"/>
      <c r="C5" s="15"/>
      <c r="D5" s="29" t="s">
        <v>38</v>
      </c>
      <c r="E5" s="29"/>
      <c r="F5" s="15"/>
      <c r="G5" s="29" t="s">
        <v>39</v>
      </c>
      <c r="H5" s="29"/>
      <c r="I5" s="29"/>
      <c r="J5" s="29"/>
      <c r="K5" s="29"/>
      <c r="L5" s="29"/>
      <c r="M5" s="15"/>
      <c r="N5" s="29" t="s">
        <v>40</v>
      </c>
      <c r="O5" s="29"/>
      <c r="P5" s="29"/>
      <c r="Q5" s="29"/>
      <c r="R5" s="29"/>
      <c r="S5" s="29"/>
      <c r="T5" s="29"/>
      <c r="U5" s="29"/>
      <c r="V5" s="29"/>
      <c r="W5" s="15"/>
      <c r="X5" s="29" t="s">
        <v>41</v>
      </c>
      <c r="Y5" s="29"/>
    </row>
    <row r="6" spans="2:25" ht="29"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row>
    <row r="7" spans="2:25" ht="30" customHeight="1" x14ac:dyDescent="0.35">
      <c r="B7" s="10" t="s">
        <v>19</v>
      </c>
      <c r="C7" s="10">
        <v>6838</v>
      </c>
      <c r="D7" s="10">
        <v>3283</v>
      </c>
      <c r="E7" s="10">
        <v>3541</v>
      </c>
      <c r="F7" s="10"/>
      <c r="G7" s="10">
        <v>635</v>
      </c>
      <c r="H7" s="10">
        <v>1075</v>
      </c>
      <c r="I7" s="10">
        <v>1093</v>
      </c>
      <c r="J7" s="10">
        <v>1228</v>
      </c>
      <c r="K7" s="10">
        <v>1156</v>
      </c>
      <c r="L7" s="10">
        <v>1651</v>
      </c>
      <c r="M7" s="10"/>
      <c r="N7" s="10">
        <v>208</v>
      </c>
      <c r="O7" s="10">
        <v>200</v>
      </c>
      <c r="P7" s="10">
        <v>1002</v>
      </c>
      <c r="Q7" s="10">
        <v>1000</v>
      </c>
      <c r="R7" s="10">
        <v>1004</v>
      </c>
      <c r="S7" s="10">
        <v>1006</v>
      </c>
      <c r="T7" s="10">
        <v>1006</v>
      </c>
      <c r="U7" s="10">
        <v>1007</v>
      </c>
      <c r="V7" s="10">
        <v>405</v>
      </c>
      <c r="W7" s="10"/>
      <c r="X7" s="10">
        <v>2650</v>
      </c>
      <c r="Y7" s="10">
        <v>4188</v>
      </c>
    </row>
    <row r="8" spans="2:25" ht="30" customHeight="1" x14ac:dyDescent="0.35">
      <c r="B8" s="11" t="s">
        <v>20</v>
      </c>
      <c r="C8" s="11">
        <v>6838</v>
      </c>
      <c r="D8" s="11">
        <v>3309</v>
      </c>
      <c r="E8" s="11">
        <v>3515</v>
      </c>
      <c r="F8" s="11"/>
      <c r="G8" s="11">
        <v>645</v>
      </c>
      <c r="H8" s="11">
        <v>1026</v>
      </c>
      <c r="I8" s="11">
        <v>1111</v>
      </c>
      <c r="J8" s="11">
        <v>1184</v>
      </c>
      <c r="K8" s="11">
        <v>1140</v>
      </c>
      <c r="L8" s="11">
        <v>1732</v>
      </c>
      <c r="M8" s="11"/>
      <c r="N8" s="11">
        <v>208</v>
      </c>
      <c r="O8" s="11">
        <v>200</v>
      </c>
      <c r="P8" s="11">
        <v>1002</v>
      </c>
      <c r="Q8" s="11">
        <v>1000</v>
      </c>
      <c r="R8" s="11">
        <v>1004</v>
      </c>
      <c r="S8" s="11">
        <v>1006</v>
      </c>
      <c r="T8" s="11">
        <v>1006</v>
      </c>
      <c r="U8" s="11">
        <v>1007</v>
      </c>
      <c r="V8" s="11">
        <v>405</v>
      </c>
      <c r="W8" s="11"/>
      <c r="X8" s="11">
        <v>2436</v>
      </c>
      <c r="Y8" s="11">
        <v>4402</v>
      </c>
    </row>
    <row r="9" spans="2:25" x14ac:dyDescent="0.35">
      <c r="B9" s="18" t="s">
        <v>486</v>
      </c>
      <c r="C9" s="17">
        <v>0.101982557768837</v>
      </c>
      <c r="D9" s="17">
        <v>0.120204312389619</v>
      </c>
      <c r="E9" s="17">
        <v>8.4137226144836694E-2</v>
      </c>
      <c r="F9" s="17"/>
      <c r="G9" s="17">
        <v>0.120665605328573</v>
      </c>
      <c r="H9" s="17">
        <v>0.13973638073193601</v>
      </c>
      <c r="I9" s="17">
        <v>0.112623324686001</v>
      </c>
      <c r="J9" s="17">
        <v>0.107028924255526</v>
      </c>
      <c r="K9" s="17">
        <v>7.8579044203412093E-2</v>
      </c>
      <c r="L9" s="17">
        <v>7.7810694716673803E-2</v>
      </c>
      <c r="M9" s="17"/>
      <c r="N9" s="17">
        <v>6.7776652320899994E-2</v>
      </c>
      <c r="O9" s="17">
        <v>2.9215042396990399E-2</v>
      </c>
      <c r="P9" s="17">
        <v>0.106934355698814</v>
      </c>
      <c r="Q9" s="17">
        <v>0.15358402503780499</v>
      </c>
      <c r="R9" s="17">
        <v>0.14432824451342099</v>
      </c>
      <c r="S9" s="17">
        <v>5.14587318463978E-2</v>
      </c>
      <c r="T9" s="17">
        <v>6.6631809012103402E-2</v>
      </c>
      <c r="U9" s="17">
        <v>0.13251172451097101</v>
      </c>
      <c r="V9" s="17">
        <v>4.8246864778944E-2</v>
      </c>
      <c r="W9" s="17"/>
      <c r="X9" s="17">
        <v>0.106588246037311</v>
      </c>
      <c r="Y9" s="17">
        <v>9.9433924052330605E-2</v>
      </c>
    </row>
    <row r="10" spans="2:25" x14ac:dyDescent="0.35">
      <c r="B10" s="18" t="s">
        <v>487</v>
      </c>
      <c r="C10" s="17">
        <v>0.28154349925150102</v>
      </c>
      <c r="D10" s="17">
        <v>0.30821449681524798</v>
      </c>
      <c r="E10" s="17">
        <v>0.25662228612641202</v>
      </c>
      <c r="F10" s="17"/>
      <c r="G10" s="17">
        <v>0.27861975689656898</v>
      </c>
      <c r="H10" s="17">
        <v>0.33080460388779398</v>
      </c>
      <c r="I10" s="17">
        <v>0.30279652181968397</v>
      </c>
      <c r="J10" s="17">
        <v>0.269525595927398</v>
      </c>
      <c r="K10" s="17">
        <v>0.26802512337080597</v>
      </c>
      <c r="L10" s="17">
        <v>0.25694739596788502</v>
      </c>
      <c r="M10" s="17"/>
      <c r="N10" s="17">
        <v>0.19947539279204299</v>
      </c>
      <c r="O10" s="17">
        <v>0.11113469262421501</v>
      </c>
      <c r="P10" s="17">
        <v>0.30876033631821698</v>
      </c>
      <c r="Q10" s="17">
        <v>0.37243920821381399</v>
      </c>
      <c r="R10" s="17">
        <v>0.35313702476485298</v>
      </c>
      <c r="S10" s="17">
        <v>0.181631973322117</v>
      </c>
      <c r="T10" s="17">
        <v>0.24152778941338501</v>
      </c>
      <c r="U10" s="17">
        <v>0.32069797516833998</v>
      </c>
      <c r="V10" s="17">
        <v>0.18881088217570799</v>
      </c>
      <c r="W10" s="17"/>
      <c r="X10" s="17">
        <v>0.30452603621070601</v>
      </c>
      <c r="Y10" s="17">
        <v>0.26882573261800302</v>
      </c>
    </row>
    <row r="11" spans="2:25" x14ac:dyDescent="0.35">
      <c r="B11" s="18" t="s">
        <v>488</v>
      </c>
      <c r="C11" s="17">
        <v>0.32623851336690302</v>
      </c>
      <c r="D11" s="17">
        <v>0.31564708902128802</v>
      </c>
      <c r="E11" s="17">
        <v>0.33666687248489002</v>
      </c>
      <c r="F11" s="17"/>
      <c r="G11" s="17">
        <v>0.31009837288797099</v>
      </c>
      <c r="H11" s="17">
        <v>0.28724662650960497</v>
      </c>
      <c r="I11" s="17">
        <v>0.31974794449045901</v>
      </c>
      <c r="J11" s="17">
        <v>0.32964405805410002</v>
      </c>
      <c r="K11" s="17">
        <v>0.36303217058800402</v>
      </c>
      <c r="L11" s="17">
        <v>0.33294554402589999</v>
      </c>
      <c r="M11" s="17"/>
      <c r="N11" s="17">
        <v>0.35858525836335198</v>
      </c>
      <c r="O11" s="17">
        <v>0.40657484579370401</v>
      </c>
      <c r="P11" s="17">
        <v>0.32701355284470701</v>
      </c>
      <c r="Q11" s="17">
        <v>0.28863352028008099</v>
      </c>
      <c r="R11" s="17">
        <v>0.33365175918840301</v>
      </c>
      <c r="S11" s="17">
        <v>0.34478535157899798</v>
      </c>
      <c r="T11" s="17">
        <v>0.30598211759217597</v>
      </c>
      <c r="U11" s="17">
        <v>0.334099607769824</v>
      </c>
      <c r="V11" s="17">
        <v>0.32721087910745</v>
      </c>
      <c r="W11" s="17"/>
      <c r="X11" s="17">
        <v>0.31456775242627899</v>
      </c>
      <c r="Y11" s="17">
        <v>0.33269672180323301</v>
      </c>
    </row>
    <row r="12" spans="2:25" x14ac:dyDescent="0.35">
      <c r="B12" s="18" t="s">
        <v>489</v>
      </c>
      <c r="C12" s="17">
        <v>0.12698683081454901</v>
      </c>
      <c r="D12" s="17">
        <v>0.137887816069652</v>
      </c>
      <c r="E12" s="17">
        <v>0.11666202729611901</v>
      </c>
      <c r="F12" s="17"/>
      <c r="G12" s="17">
        <v>0.15228087400481299</v>
      </c>
      <c r="H12" s="17">
        <v>0.13415551307016299</v>
      </c>
      <c r="I12" s="17">
        <v>0.119267302500736</v>
      </c>
      <c r="J12" s="17">
        <v>0.12598418033206099</v>
      </c>
      <c r="K12" s="17">
        <v>0.12765159717444899</v>
      </c>
      <c r="L12" s="17">
        <v>0.11852929318248701</v>
      </c>
      <c r="M12" s="17"/>
      <c r="N12" s="17">
        <v>0.17886574053738899</v>
      </c>
      <c r="O12" s="17">
        <v>0.23366752570485499</v>
      </c>
      <c r="P12" s="17">
        <v>9.4884518512471899E-2</v>
      </c>
      <c r="Q12" s="17">
        <v>8.8036108608923497E-2</v>
      </c>
      <c r="R12" s="17">
        <v>6.9661999917798395E-2</v>
      </c>
      <c r="S12" s="17">
        <v>0.16759068429314999</v>
      </c>
      <c r="T12" s="17">
        <v>0.198908966785699</v>
      </c>
      <c r="U12" s="17">
        <v>0.104051850051929</v>
      </c>
      <c r="V12" s="17">
        <v>0.14288509598428101</v>
      </c>
      <c r="W12" s="17"/>
      <c r="X12" s="17">
        <v>0.145874716642997</v>
      </c>
      <c r="Y12" s="17">
        <v>0.11653490705205299</v>
      </c>
    </row>
    <row r="13" spans="2:25" x14ac:dyDescent="0.35">
      <c r="B13" s="18" t="s">
        <v>490</v>
      </c>
      <c r="C13" s="17">
        <v>3.58435299725045E-2</v>
      </c>
      <c r="D13" s="17">
        <v>3.9120853852381302E-2</v>
      </c>
      <c r="E13" s="17">
        <v>3.2619686752679802E-2</v>
      </c>
      <c r="F13" s="17"/>
      <c r="G13" s="17">
        <v>5.1969184235070201E-2</v>
      </c>
      <c r="H13" s="17">
        <v>3.1107909431986401E-2</v>
      </c>
      <c r="I13" s="17">
        <v>3.9293677969595903E-2</v>
      </c>
      <c r="J13" s="17">
        <v>3.6344069721240602E-2</v>
      </c>
      <c r="K13" s="17">
        <v>2.7819787818976899E-2</v>
      </c>
      <c r="L13" s="17">
        <v>3.5372069552526697E-2</v>
      </c>
      <c r="M13" s="17"/>
      <c r="N13" s="17">
        <v>3.6070541135581898E-2</v>
      </c>
      <c r="O13" s="17">
        <v>3.6072682585058302E-2</v>
      </c>
      <c r="P13" s="17">
        <v>3.0908434452844101E-2</v>
      </c>
      <c r="Q13" s="17">
        <v>2.4536259819263901E-2</v>
      </c>
      <c r="R13" s="17">
        <v>1.1675868424333199E-2</v>
      </c>
      <c r="S13" s="17">
        <v>4.5522748226454197E-2</v>
      </c>
      <c r="T13" s="17">
        <v>4.3050410166027397E-2</v>
      </c>
      <c r="U13" s="17">
        <v>3.3432055152478102E-2</v>
      </c>
      <c r="V13" s="17">
        <v>9.9706392489744694E-2</v>
      </c>
      <c r="W13" s="17"/>
      <c r="X13" s="17">
        <v>4.0892135644382502E-2</v>
      </c>
      <c r="Y13" s="17">
        <v>3.3049800591215199E-2</v>
      </c>
    </row>
    <row r="14" spans="2:25" x14ac:dyDescent="0.35">
      <c r="B14" s="18" t="s">
        <v>80</v>
      </c>
      <c r="C14" s="17">
        <v>0.12740506882570499</v>
      </c>
      <c r="D14" s="17">
        <v>7.8925431851810293E-2</v>
      </c>
      <c r="E14" s="17">
        <v>0.17329190119506299</v>
      </c>
      <c r="F14" s="17"/>
      <c r="G14" s="17">
        <v>8.6366206647004395E-2</v>
      </c>
      <c r="H14" s="17">
        <v>7.6948966368515295E-2</v>
      </c>
      <c r="I14" s="17">
        <v>0.106271228533525</v>
      </c>
      <c r="J14" s="17">
        <v>0.13147317170967401</v>
      </c>
      <c r="K14" s="17">
        <v>0.13489227684435301</v>
      </c>
      <c r="L14" s="17">
        <v>0.178395002554528</v>
      </c>
      <c r="M14" s="17"/>
      <c r="N14" s="17">
        <v>0.15922641485073399</v>
      </c>
      <c r="O14" s="17">
        <v>0.18333521089517801</v>
      </c>
      <c r="P14" s="17">
        <v>0.13149880217294599</v>
      </c>
      <c r="Q14" s="17">
        <v>7.2770878040112896E-2</v>
      </c>
      <c r="R14" s="17">
        <v>8.75451031911917E-2</v>
      </c>
      <c r="S14" s="17">
        <v>0.20901051073288299</v>
      </c>
      <c r="T14" s="17">
        <v>0.14389890703060901</v>
      </c>
      <c r="U14" s="17">
        <v>7.5206787346456402E-2</v>
      </c>
      <c r="V14" s="17">
        <v>0.19313988546387201</v>
      </c>
      <c r="W14" s="17"/>
      <c r="X14" s="17">
        <v>8.7551113038324704E-2</v>
      </c>
      <c r="Y14" s="17">
        <v>0.14945891388316501</v>
      </c>
    </row>
    <row r="15" spans="2:25" x14ac:dyDescent="0.35">
      <c r="B15" s="18" t="s">
        <v>491</v>
      </c>
      <c r="C15" s="21">
        <v>0.38352605702033798</v>
      </c>
      <c r="D15" s="21">
        <v>0.42841880920486802</v>
      </c>
      <c r="E15" s="21">
        <v>0.34075951227124901</v>
      </c>
      <c r="F15" s="21"/>
      <c r="G15" s="21">
        <v>0.39928536222514199</v>
      </c>
      <c r="H15" s="21">
        <v>0.47054098461972999</v>
      </c>
      <c r="I15" s="21">
        <v>0.41541984650568498</v>
      </c>
      <c r="J15" s="21">
        <v>0.37655452018292401</v>
      </c>
      <c r="K15" s="21">
        <v>0.34660416757421803</v>
      </c>
      <c r="L15" s="21">
        <v>0.33475809068455897</v>
      </c>
      <c r="M15" s="21"/>
      <c r="N15" s="21">
        <v>0.26725204511294298</v>
      </c>
      <c r="O15" s="21">
        <v>0.14034973502120501</v>
      </c>
      <c r="P15" s="21">
        <v>0.41569469201703102</v>
      </c>
      <c r="Q15" s="21">
        <v>0.52602323325161904</v>
      </c>
      <c r="R15" s="21">
        <v>0.497465269278274</v>
      </c>
      <c r="S15" s="21">
        <v>0.23309070516851399</v>
      </c>
      <c r="T15" s="21">
        <v>0.30815959842548801</v>
      </c>
      <c r="U15" s="21">
        <v>0.45320969967931202</v>
      </c>
      <c r="V15" s="21">
        <v>0.23705774695465201</v>
      </c>
      <c r="W15" s="21"/>
      <c r="X15" s="21">
        <v>0.41111428224801699</v>
      </c>
      <c r="Y15" s="21">
        <v>0.368259656670334</v>
      </c>
    </row>
    <row r="16" spans="2:25" x14ac:dyDescent="0.35">
      <c r="B16" s="18" t="s">
        <v>492</v>
      </c>
      <c r="C16" s="21">
        <v>0.16283036078705401</v>
      </c>
      <c r="D16" s="21">
        <v>0.17700866992203401</v>
      </c>
      <c r="E16" s="21">
        <v>0.149281714048799</v>
      </c>
      <c r="F16" s="21"/>
      <c r="G16" s="21">
        <v>0.20425005823988299</v>
      </c>
      <c r="H16" s="21">
        <v>0.16526342250215001</v>
      </c>
      <c r="I16" s="21">
        <v>0.15856098047033099</v>
      </c>
      <c r="J16" s="21">
        <v>0.16232825005330201</v>
      </c>
      <c r="K16" s="21">
        <v>0.155471384993425</v>
      </c>
      <c r="L16" s="21">
        <v>0.15390136273501301</v>
      </c>
      <c r="M16" s="21"/>
      <c r="N16" s="21">
        <v>0.21493628167297099</v>
      </c>
      <c r="O16" s="21">
        <v>0.26974020828991302</v>
      </c>
      <c r="P16" s="21">
        <v>0.12579295296531601</v>
      </c>
      <c r="Q16" s="21">
        <v>0.11257236842818701</v>
      </c>
      <c r="R16" s="21">
        <v>8.1337868342131595E-2</v>
      </c>
      <c r="S16" s="21">
        <v>0.21311343251960399</v>
      </c>
      <c r="T16" s="21">
        <v>0.24195937695172601</v>
      </c>
      <c r="U16" s="21">
        <v>0.13748390520440801</v>
      </c>
      <c r="V16" s="21">
        <v>0.24259148847402601</v>
      </c>
      <c r="W16" s="21"/>
      <c r="X16" s="21">
        <v>0.18676685228737999</v>
      </c>
      <c r="Y16" s="21">
        <v>0.149584707643269</v>
      </c>
    </row>
    <row r="17" spans="2:25" x14ac:dyDescent="0.35">
      <c r="B17" s="18" t="s">
        <v>92</v>
      </c>
      <c r="C17" s="22">
        <v>0.220695696233284</v>
      </c>
      <c r="D17" s="22">
        <v>0.25141013928283401</v>
      </c>
      <c r="E17" s="22">
        <v>0.19147779822245001</v>
      </c>
      <c r="F17" s="22"/>
      <c r="G17" s="22">
        <v>0.19503530398525901</v>
      </c>
      <c r="H17" s="22">
        <v>0.30527756211758</v>
      </c>
      <c r="I17" s="22">
        <v>0.25685886603535302</v>
      </c>
      <c r="J17" s="22">
        <v>0.214226270129622</v>
      </c>
      <c r="K17" s="22">
        <v>0.191132782580792</v>
      </c>
      <c r="L17" s="22">
        <v>0.18085672794954499</v>
      </c>
      <c r="M17" s="22"/>
      <c r="N17" s="22">
        <v>5.2315763439971803E-2</v>
      </c>
      <c r="O17" s="22">
        <v>-0.12939047326870801</v>
      </c>
      <c r="P17" s="22">
        <v>0.28990173905171501</v>
      </c>
      <c r="Q17" s="22">
        <v>0.41345086482343102</v>
      </c>
      <c r="R17" s="22">
        <v>0.41612740093614198</v>
      </c>
      <c r="S17" s="22">
        <v>1.99772726489101E-2</v>
      </c>
      <c r="T17" s="22">
        <v>6.62002214737622E-2</v>
      </c>
      <c r="U17" s="22">
        <v>0.31572579447490401</v>
      </c>
      <c r="V17" s="22">
        <v>-5.5337415193731599E-3</v>
      </c>
      <c r="W17" s="22"/>
      <c r="X17" s="22">
        <v>0.224347429960637</v>
      </c>
      <c r="Y17" s="22">
        <v>0.218674949027065</v>
      </c>
    </row>
    <row r="18" spans="2:25" x14ac:dyDescent="0.35">
      <c r="B18" s="16"/>
    </row>
    <row r="19" spans="2:25" x14ac:dyDescent="0.35">
      <c r="B19" t="s">
        <v>51</v>
      </c>
    </row>
    <row r="20" spans="2:25" x14ac:dyDescent="0.35">
      <c r="B20" t="s">
        <v>52</v>
      </c>
    </row>
    <row r="22" spans="2:25" x14ac:dyDescent="0.35">
      <c r="B22" s="8" t="str">
        <f>HYPERLINK("#'Contents'!A1", "Return to Contents")</f>
        <v>Return to Contents</v>
      </c>
    </row>
  </sheetData>
  <mergeCells count="5">
    <mergeCell ref="D5:E5"/>
    <mergeCell ref="G5:L5"/>
    <mergeCell ref="N5:V5"/>
    <mergeCell ref="X5:Y5"/>
    <mergeCell ref="D2:W2"/>
  </mergeCells>
  <pageMargins left="0.7" right="0.7" top="0.75" bottom="0.75" header="0.3" footer="0.3"/>
  <pageSetup paperSize="9" orientation="portrait" horizontalDpi="300" verticalDpi="300"/>
  <drawing r:id="rId1"/>
</worksheet>
</file>

<file path=xl/worksheets/sheet1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C00-000000000000}">
  <dimension ref="B2:Y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s>
  <sheetData>
    <row r="2" spans="2:25" ht="40" customHeight="1" x14ac:dyDescent="0.35">
      <c r="D2" s="30" t="s">
        <v>496</v>
      </c>
      <c r="E2" s="26"/>
      <c r="F2" s="26"/>
      <c r="G2" s="26"/>
      <c r="H2" s="26"/>
      <c r="I2" s="26"/>
      <c r="J2" s="26"/>
      <c r="K2" s="26"/>
      <c r="L2" s="26"/>
      <c r="M2" s="26"/>
      <c r="N2" s="26"/>
      <c r="O2" s="26"/>
      <c r="P2" s="26"/>
      <c r="Q2" s="26"/>
      <c r="R2" s="26"/>
      <c r="S2" s="26"/>
      <c r="T2" s="26"/>
      <c r="U2" s="26"/>
      <c r="V2" s="26"/>
      <c r="W2" s="26"/>
    </row>
    <row r="5" spans="2:25" ht="30" customHeight="1" x14ac:dyDescent="0.35">
      <c r="B5" s="15"/>
      <c r="C5" s="15"/>
      <c r="D5" s="29" t="s">
        <v>38</v>
      </c>
      <c r="E5" s="29"/>
      <c r="F5" s="15"/>
      <c r="G5" s="29" t="s">
        <v>39</v>
      </c>
      <c r="H5" s="29"/>
      <c r="I5" s="29"/>
      <c r="J5" s="29"/>
      <c r="K5" s="29"/>
      <c r="L5" s="29"/>
      <c r="M5" s="15"/>
      <c r="N5" s="29" t="s">
        <v>40</v>
      </c>
      <c r="O5" s="29"/>
      <c r="P5" s="29"/>
      <c r="Q5" s="29"/>
      <c r="R5" s="29"/>
      <c r="S5" s="29"/>
      <c r="T5" s="29"/>
      <c r="U5" s="29"/>
      <c r="V5" s="29"/>
      <c r="W5" s="15"/>
      <c r="X5" s="29" t="s">
        <v>41</v>
      </c>
      <c r="Y5" s="29"/>
    </row>
    <row r="6" spans="2:25" ht="29"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row>
    <row r="7" spans="2:25" ht="30" customHeight="1" x14ac:dyDescent="0.35">
      <c r="B7" s="10" t="s">
        <v>19</v>
      </c>
      <c r="C7" s="10">
        <v>6838</v>
      </c>
      <c r="D7" s="10">
        <v>3283</v>
      </c>
      <c r="E7" s="10">
        <v>3541</v>
      </c>
      <c r="F7" s="10"/>
      <c r="G7" s="10">
        <v>635</v>
      </c>
      <c r="H7" s="10">
        <v>1075</v>
      </c>
      <c r="I7" s="10">
        <v>1093</v>
      </c>
      <c r="J7" s="10">
        <v>1228</v>
      </c>
      <c r="K7" s="10">
        <v>1156</v>
      </c>
      <c r="L7" s="10">
        <v>1651</v>
      </c>
      <c r="M7" s="10"/>
      <c r="N7" s="10">
        <v>208</v>
      </c>
      <c r="O7" s="10">
        <v>200</v>
      </c>
      <c r="P7" s="10">
        <v>1002</v>
      </c>
      <c r="Q7" s="10">
        <v>1000</v>
      </c>
      <c r="R7" s="10">
        <v>1004</v>
      </c>
      <c r="S7" s="10">
        <v>1006</v>
      </c>
      <c r="T7" s="10">
        <v>1006</v>
      </c>
      <c r="U7" s="10">
        <v>1007</v>
      </c>
      <c r="V7" s="10">
        <v>405</v>
      </c>
      <c r="W7" s="10"/>
      <c r="X7" s="10">
        <v>2650</v>
      </c>
      <c r="Y7" s="10">
        <v>4188</v>
      </c>
    </row>
    <row r="8" spans="2:25" ht="30" customHeight="1" x14ac:dyDescent="0.35">
      <c r="B8" s="11" t="s">
        <v>20</v>
      </c>
      <c r="C8" s="11">
        <v>6838</v>
      </c>
      <c r="D8" s="11">
        <v>3309</v>
      </c>
      <c r="E8" s="11">
        <v>3515</v>
      </c>
      <c r="F8" s="11"/>
      <c r="G8" s="11">
        <v>645</v>
      </c>
      <c r="H8" s="11">
        <v>1026</v>
      </c>
      <c r="I8" s="11">
        <v>1111</v>
      </c>
      <c r="J8" s="11">
        <v>1184</v>
      </c>
      <c r="K8" s="11">
        <v>1140</v>
      </c>
      <c r="L8" s="11">
        <v>1732</v>
      </c>
      <c r="M8" s="11"/>
      <c r="N8" s="11">
        <v>208</v>
      </c>
      <c r="O8" s="11">
        <v>200</v>
      </c>
      <c r="P8" s="11">
        <v>1002</v>
      </c>
      <c r="Q8" s="11">
        <v>1000</v>
      </c>
      <c r="R8" s="11">
        <v>1004</v>
      </c>
      <c r="S8" s="11">
        <v>1006</v>
      </c>
      <c r="T8" s="11">
        <v>1006</v>
      </c>
      <c r="U8" s="11">
        <v>1007</v>
      </c>
      <c r="V8" s="11">
        <v>405</v>
      </c>
      <c r="W8" s="11"/>
      <c r="X8" s="11">
        <v>2436</v>
      </c>
      <c r="Y8" s="11">
        <v>4402</v>
      </c>
    </row>
    <row r="9" spans="2:25" x14ac:dyDescent="0.35">
      <c r="B9" s="18" t="s">
        <v>486</v>
      </c>
      <c r="C9" s="17">
        <v>0.37956775033770601</v>
      </c>
      <c r="D9" s="17">
        <v>0.38244103138537999</v>
      </c>
      <c r="E9" s="17">
        <v>0.37563947020970001</v>
      </c>
      <c r="F9" s="17"/>
      <c r="G9" s="17">
        <v>0.35167328085398297</v>
      </c>
      <c r="H9" s="17">
        <v>0.36580578110319101</v>
      </c>
      <c r="I9" s="17">
        <v>0.36878469435587302</v>
      </c>
      <c r="J9" s="17">
        <v>0.36384331607767101</v>
      </c>
      <c r="K9" s="17">
        <v>0.37859347645330699</v>
      </c>
      <c r="L9" s="17">
        <v>0.41639884776414499</v>
      </c>
      <c r="M9" s="17"/>
      <c r="N9" s="17">
        <v>0.41175377014841902</v>
      </c>
      <c r="O9" s="17">
        <v>0.37682966047623001</v>
      </c>
      <c r="P9" s="17">
        <v>0.30715950011141702</v>
      </c>
      <c r="Q9" s="17">
        <v>0.33656823158871202</v>
      </c>
      <c r="R9" s="17">
        <v>0.43055816164098298</v>
      </c>
      <c r="S9" s="17">
        <v>0.29745582175330199</v>
      </c>
      <c r="T9" s="17">
        <v>0.38766589676505497</v>
      </c>
      <c r="U9" s="17">
        <v>0.51721696173806297</v>
      </c>
      <c r="V9" s="17">
        <v>0.36489181786547897</v>
      </c>
      <c r="W9" s="17"/>
      <c r="X9" s="17">
        <v>0.393095176406285</v>
      </c>
      <c r="Y9" s="17">
        <v>0.372082125569759</v>
      </c>
    </row>
    <row r="10" spans="2:25" x14ac:dyDescent="0.35">
      <c r="B10" s="18" t="s">
        <v>487</v>
      </c>
      <c r="C10" s="17">
        <v>0.425578677914142</v>
      </c>
      <c r="D10" s="17">
        <v>0.42745209365693099</v>
      </c>
      <c r="E10" s="17">
        <v>0.42457313732095903</v>
      </c>
      <c r="F10" s="17"/>
      <c r="G10" s="17">
        <v>0.42618306057628802</v>
      </c>
      <c r="H10" s="17">
        <v>0.41727092680862998</v>
      </c>
      <c r="I10" s="17">
        <v>0.43120021633776301</v>
      </c>
      <c r="J10" s="17">
        <v>0.431535681406782</v>
      </c>
      <c r="K10" s="17">
        <v>0.42097523432831602</v>
      </c>
      <c r="L10" s="17">
        <v>0.42562523568993699</v>
      </c>
      <c r="M10" s="17"/>
      <c r="N10" s="17">
        <v>0.37219556588102398</v>
      </c>
      <c r="O10" s="17">
        <v>0.442196144613972</v>
      </c>
      <c r="P10" s="17">
        <v>0.48390620747212798</v>
      </c>
      <c r="Q10" s="17">
        <v>0.40620881100455702</v>
      </c>
      <c r="R10" s="17">
        <v>0.4461697200095</v>
      </c>
      <c r="S10" s="17">
        <v>0.445795029985526</v>
      </c>
      <c r="T10" s="17">
        <v>0.45296719485144099</v>
      </c>
      <c r="U10" s="17">
        <v>0.34107350484151699</v>
      </c>
      <c r="V10" s="17">
        <v>0.38913097681060299</v>
      </c>
      <c r="W10" s="17"/>
      <c r="X10" s="17">
        <v>0.42872208598898998</v>
      </c>
      <c r="Y10" s="17">
        <v>0.42383922110827599</v>
      </c>
    </row>
    <row r="11" spans="2:25" x14ac:dyDescent="0.35">
      <c r="B11" s="18" t="s">
        <v>488</v>
      </c>
      <c r="C11" s="17">
        <v>0.130714566752369</v>
      </c>
      <c r="D11" s="17">
        <v>0.13399412354527401</v>
      </c>
      <c r="E11" s="17">
        <v>0.12815023271501999</v>
      </c>
      <c r="F11" s="17"/>
      <c r="G11" s="17">
        <v>0.156012684703555</v>
      </c>
      <c r="H11" s="17">
        <v>0.158722746128593</v>
      </c>
      <c r="I11" s="17">
        <v>0.139466767705902</v>
      </c>
      <c r="J11" s="17">
        <v>0.12524747394476499</v>
      </c>
      <c r="K11" s="17">
        <v>0.14281020408653</v>
      </c>
      <c r="L11" s="17">
        <v>9.4879758618727494E-2</v>
      </c>
      <c r="M11" s="17"/>
      <c r="N11" s="17">
        <v>0.14328503560102099</v>
      </c>
      <c r="O11" s="17">
        <v>0.125888737454983</v>
      </c>
      <c r="P11" s="17">
        <v>0.13537853052887</v>
      </c>
      <c r="Q11" s="17">
        <v>0.17219403299513</v>
      </c>
      <c r="R11" s="17">
        <v>9.4248195476497307E-2</v>
      </c>
      <c r="S11" s="17">
        <v>0.175004904255563</v>
      </c>
      <c r="T11" s="17">
        <v>9.2637648216662996E-2</v>
      </c>
      <c r="U11" s="17">
        <v>0.101849637979275</v>
      </c>
      <c r="V11" s="17">
        <v>0.15942140859515599</v>
      </c>
      <c r="W11" s="17"/>
      <c r="X11" s="17">
        <v>0.122752938703272</v>
      </c>
      <c r="Y11" s="17">
        <v>0.13512026520640999</v>
      </c>
    </row>
    <row r="12" spans="2:25" x14ac:dyDescent="0.35">
      <c r="B12" s="18" t="s">
        <v>489</v>
      </c>
      <c r="C12" s="17">
        <v>2.1282221781412501E-2</v>
      </c>
      <c r="D12" s="17">
        <v>2.0902184049677301E-2</v>
      </c>
      <c r="E12" s="17">
        <v>2.14107367984409E-2</v>
      </c>
      <c r="F12" s="17"/>
      <c r="G12" s="17">
        <v>3.4070734317733803E-2</v>
      </c>
      <c r="H12" s="17">
        <v>3.4957879618821901E-2</v>
      </c>
      <c r="I12" s="17">
        <v>2.15358355884855E-2</v>
      </c>
      <c r="J12" s="17">
        <v>1.7924319451078901E-2</v>
      </c>
      <c r="K12" s="17">
        <v>1.35546360342957E-2</v>
      </c>
      <c r="L12" s="17">
        <v>1.56456190959204E-2</v>
      </c>
      <c r="M12" s="17"/>
      <c r="N12" s="17">
        <v>3.6552309875792402E-2</v>
      </c>
      <c r="O12" s="17">
        <v>2.7050096877584799E-2</v>
      </c>
      <c r="P12" s="17">
        <v>2.05408692300218E-2</v>
      </c>
      <c r="Q12" s="17">
        <v>2.4940071948768901E-2</v>
      </c>
      <c r="R12" s="17">
        <v>8.1521226614374599E-3</v>
      </c>
      <c r="S12" s="17">
        <v>3.9220668741284798E-2</v>
      </c>
      <c r="T12" s="17">
        <v>1.7844019605045398E-2</v>
      </c>
      <c r="U12" s="17">
        <v>1.1136885632859601E-2</v>
      </c>
      <c r="V12" s="17">
        <v>2.5151255144655299E-2</v>
      </c>
      <c r="W12" s="17"/>
      <c r="X12" s="17">
        <v>2.69744710961707E-2</v>
      </c>
      <c r="Y12" s="17">
        <v>1.81323215535447E-2</v>
      </c>
    </row>
    <row r="13" spans="2:25" x14ac:dyDescent="0.35">
      <c r="B13" s="18" t="s">
        <v>490</v>
      </c>
      <c r="C13" s="17">
        <v>1.1750991435995501E-2</v>
      </c>
      <c r="D13" s="17">
        <v>1.1892928928453299E-2</v>
      </c>
      <c r="E13" s="17">
        <v>1.1664391940057301E-2</v>
      </c>
      <c r="F13" s="17"/>
      <c r="G13" s="17">
        <v>1.10702218425271E-2</v>
      </c>
      <c r="H13" s="17">
        <v>6.6808407635023199E-3</v>
      </c>
      <c r="I13" s="17">
        <v>1.05201569351983E-2</v>
      </c>
      <c r="J13" s="17">
        <v>1.8283241944106701E-2</v>
      </c>
      <c r="K13" s="17">
        <v>1.09647802130887E-2</v>
      </c>
      <c r="L13" s="17">
        <v>1.1849005715086E-2</v>
      </c>
      <c r="M13" s="17"/>
      <c r="N13" s="17">
        <v>1.7075522014677401E-2</v>
      </c>
      <c r="O13" s="17">
        <v>3.5130108547229699E-3</v>
      </c>
      <c r="P13" s="17">
        <v>1.5963098514426202E-2</v>
      </c>
      <c r="Q13" s="17">
        <v>1.8490748471954699E-2</v>
      </c>
      <c r="R13" s="17">
        <v>5.6511451595880197E-3</v>
      </c>
      <c r="S13" s="17">
        <v>7.8618452943501598E-3</v>
      </c>
      <c r="T13" s="17">
        <v>9.5810418397900797E-3</v>
      </c>
      <c r="U13" s="17">
        <v>1.1912238577635599E-2</v>
      </c>
      <c r="V13" s="17">
        <v>1.5793276694024E-2</v>
      </c>
      <c r="W13" s="17"/>
      <c r="X13" s="17">
        <v>1.21491265980698E-2</v>
      </c>
      <c r="Y13" s="17">
        <v>1.1530676764519601E-2</v>
      </c>
    </row>
    <row r="14" spans="2:25" x14ac:dyDescent="0.35">
      <c r="B14" s="18" t="s">
        <v>80</v>
      </c>
      <c r="C14" s="17">
        <v>3.11057917783754E-2</v>
      </c>
      <c r="D14" s="17">
        <v>2.3317638434283999E-2</v>
      </c>
      <c r="E14" s="17">
        <v>3.85620310158225E-2</v>
      </c>
      <c r="F14" s="17"/>
      <c r="G14" s="17">
        <v>2.09900177059133E-2</v>
      </c>
      <c r="H14" s="17">
        <v>1.6561825577261401E-2</v>
      </c>
      <c r="I14" s="17">
        <v>2.84923290767779E-2</v>
      </c>
      <c r="J14" s="17">
        <v>4.3165967175596301E-2</v>
      </c>
      <c r="K14" s="17">
        <v>3.3101668884462601E-2</v>
      </c>
      <c r="L14" s="17">
        <v>3.5601533116184102E-2</v>
      </c>
      <c r="M14" s="17"/>
      <c r="N14" s="17">
        <v>1.9137796479065699E-2</v>
      </c>
      <c r="O14" s="17">
        <v>2.4522349722506501E-2</v>
      </c>
      <c r="P14" s="17">
        <v>3.7051794143137903E-2</v>
      </c>
      <c r="Q14" s="17">
        <v>4.1598103990877502E-2</v>
      </c>
      <c r="R14" s="17">
        <v>1.52206550519944E-2</v>
      </c>
      <c r="S14" s="17">
        <v>3.4661729969974998E-2</v>
      </c>
      <c r="T14" s="17">
        <v>3.9304198722005503E-2</v>
      </c>
      <c r="U14" s="17">
        <v>1.6810771230649699E-2</v>
      </c>
      <c r="V14" s="17">
        <v>4.5611264890082499E-2</v>
      </c>
      <c r="W14" s="17"/>
      <c r="X14" s="17">
        <v>1.6306201207212202E-2</v>
      </c>
      <c r="Y14" s="17">
        <v>3.9295389797491399E-2</v>
      </c>
    </row>
    <row r="15" spans="2:25" x14ac:dyDescent="0.35">
      <c r="B15" s="18" t="s">
        <v>491</v>
      </c>
      <c r="C15" s="21">
        <v>0.80514642825184801</v>
      </c>
      <c r="D15" s="21">
        <v>0.80989312504231104</v>
      </c>
      <c r="E15" s="21">
        <v>0.80021260753065904</v>
      </c>
      <c r="F15" s="21"/>
      <c r="G15" s="21">
        <v>0.77785634143027105</v>
      </c>
      <c r="H15" s="21">
        <v>0.78307670791182105</v>
      </c>
      <c r="I15" s="21">
        <v>0.79998491069363697</v>
      </c>
      <c r="J15" s="21">
        <v>0.79537899748445295</v>
      </c>
      <c r="K15" s="21">
        <v>0.79956871078162295</v>
      </c>
      <c r="L15" s="21">
        <v>0.84202408345408197</v>
      </c>
      <c r="M15" s="21"/>
      <c r="N15" s="21">
        <v>0.78394933602944294</v>
      </c>
      <c r="O15" s="21">
        <v>0.81902580509020195</v>
      </c>
      <c r="P15" s="21">
        <v>0.791065707583544</v>
      </c>
      <c r="Q15" s="21">
        <v>0.74277704259326904</v>
      </c>
      <c r="R15" s="21">
        <v>0.87672788165048299</v>
      </c>
      <c r="S15" s="21">
        <v>0.74325085173882799</v>
      </c>
      <c r="T15" s="21">
        <v>0.84063309161649602</v>
      </c>
      <c r="U15" s="21">
        <v>0.85829046657958097</v>
      </c>
      <c r="V15" s="21">
        <v>0.75402279467608202</v>
      </c>
      <c r="W15" s="21"/>
      <c r="X15" s="21">
        <v>0.82181726239527497</v>
      </c>
      <c r="Y15" s="21">
        <v>0.79592134667803405</v>
      </c>
    </row>
    <row r="16" spans="2:25" x14ac:dyDescent="0.35">
      <c r="B16" s="18" t="s">
        <v>492</v>
      </c>
      <c r="C16" s="21">
        <v>3.3033213217408097E-2</v>
      </c>
      <c r="D16" s="21">
        <v>3.2795112978130703E-2</v>
      </c>
      <c r="E16" s="21">
        <v>3.3075128738498202E-2</v>
      </c>
      <c r="F16" s="21"/>
      <c r="G16" s="21">
        <v>4.5140956160260898E-2</v>
      </c>
      <c r="H16" s="21">
        <v>4.1638720382324197E-2</v>
      </c>
      <c r="I16" s="21">
        <v>3.2055992523683803E-2</v>
      </c>
      <c r="J16" s="21">
        <v>3.6207561395185599E-2</v>
      </c>
      <c r="K16" s="21">
        <v>2.45194162473844E-2</v>
      </c>
      <c r="L16" s="21">
        <v>2.74946248110064E-2</v>
      </c>
      <c r="M16" s="21"/>
      <c r="N16" s="21">
        <v>5.3627831890469803E-2</v>
      </c>
      <c r="O16" s="21">
        <v>3.05631077323078E-2</v>
      </c>
      <c r="P16" s="21">
        <v>3.6503967744447897E-2</v>
      </c>
      <c r="Q16" s="21">
        <v>4.3430820420723597E-2</v>
      </c>
      <c r="R16" s="21">
        <v>1.38032678210255E-2</v>
      </c>
      <c r="S16" s="21">
        <v>4.7082514035635001E-2</v>
      </c>
      <c r="T16" s="21">
        <v>2.7425061444835402E-2</v>
      </c>
      <c r="U16" s="21">
        <v>2.3049124210495198E-2</v>
      </c>
      <c r="V16" s="21">
        <v>4.0944531838679202E-2</v>
      </c>
      <c r="W16" s="21"/>
      <c r="X16" s="21">
        <v>3.9123597694240501E-2</v>
      </c>
      <c r="Y16" s="21">
        <v>2.96629983180643E-2</v>
      </c>
    </row>
    <row r="17" spans="2:25" x14ac:dyDescent="0.35">
      <c r="B17" s="18" t="s">
        <v>92</v>
      </c>
      <c r="C17" s="22">
        <v>0.77211321503443997</v>
      </c>
      <c r="D17" s="22">
        <v>0.77709801206418005</v>
      </c>
      <c r="E17" s="22">
        <v>0.76713747879216099</v>
      </c>
      <c r="F17" s="22"/>
      <c r="G17" s="22">
        <v>0.73271538527001001</v>
      </c>
      <c r="H17" s="22">
        <v>0.74143798752949697</v>
      </c>
      <c r="I17" s="22">
        <v>0.76792891816995301</v>
      </c>
      <c r="J17" s="22">
        <v>0.75917143608926796</v>
      </c>
      <c r="K17" s="22">
        <v>0.77504929453423799</v>
      </c>
      <c r="L17" s="22">
        <v>0.81452945864307602</v>
      </c>
      <c r="M17" s="22"/>
      <c r="N17" s="22">
        <v>0.73032150413897301</v>
      </c>
      <c r="O17" s="22">
        <v>0.78846269735789498</v>
      </c>
      <c r="P17" s="22">
        <v>0.75456173983909602</v>
      </c>
      <c r="Q17" s="22">
        <v>0.69934622217254505</v>
      </c>
      <c r="R17" s="22">
        <v>0.86292461382945795</v>
      </c>
      <c r="S17" s="22">
        <v>0.69616833770319297</v>
      </c>
      <c r="T17" s="22">
        <v>0.81320803017166099</v>
      </c>
      <c r="U17" s="22">
        <v>0.83524134236908498</v>
      </c>
      <c r="V17" s="22">
        <v>0.71307826283740305</v>
      </c>
      <c r="W17" s="22"/>
      <c r="X17" s="22">
        <v>0.78269366470103496</v>
      </c>
      <c r="Y17" s="22">
        <v>0.76625834835996998</v>
      </c>
    </row>
    <row r="18" spans="2:25" x14ac:dyDescent="0.35">
      <c r="B18" s="16"/>
    </row>
    <row r="19" spans="2:25" x14ac:dyDescent="0.35">
      <c r="B19" t="s">
        <v>51</v>
      </c>
    </row>
    <row r="20" spans="2:25" x14ac:dyDescent="0.35">
      <c r="B20" t="s">
        <v>52</v>
      </c>
    </row>
    <row r="22" spans="2:25" x14ac:dyDescent="0.35">
      <c r="B22" s="8" t="str">
        <f>HYPERLINK("#'Contents'!A1", "Return to Contents")</f>
        <v>Return to Contents</v>
      </c>
    </row>
  </sheetData>
  <mergeCells count="5">
    <mergeCell ref="D5:E5"/>
    <mergeCell ref="G5:L5"/>
    <mergeCell ref="N5:V5"/>
    <mergeCell ref="X5:Y5"/>
    <mergeCell ref="D2:W2"/>
  </mergeCells>
  <pageMargins left="0.7" right="0.7" top="0.75" bottom="0.75" header="0.3" footer="0.3"/>
  <pageSetup paperSize="9" orientation="portrait" horizontalDpi="300" verticalDpi="300"/>
  <drawing r:id="rId1"/>
</worksheet>
</file>

<file path=xl/worksheets/sheet1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D00-000000000000}">
  <dimension ref="B2:Y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s>
  <sheetData>
    <row r="2" spans="2:25" ht="40" customHeight="1" x14ac:dyDescent="0.35">
      <c r="D2" s="30" t="s">
        <v>497</v>
      </c>
      <c r="E2" s="26"/>
      <c r="F2" s="26"/>
      <c r="G2" s="26"/>
      <c r="H2" s="26"/>
      <c r="I2" s="26"/>
      <c r="J2" s="26"/>
      <c r="K2" s="26"/>
      <c r="L2" s="26"/>
      <c r="M2" s="26"/>
      <c r="N2" s="26"/>
      <c r="O2" s="26"/>
      <c r="P2" s="26"/>
      <c r="Q2" s="26"/>
      <c r="R2" s="26"/>
      <c r="S2" s="26"/>
      <c r="T2" s="26"/>
      <c r="U2" s="26"/>
      <c r="V2" s="26"/>
      <c r="W2" s="26"/>
    </row>
    <row r="5" spans="2:25" ht="30" customHeight="1" x14ac:dyDescent="0.35">
      <c r="B5" s="15"/>
      <c r="C5" s="15"/>
      <c r="D5" s="29" t="s">
        <v>38</v>
      </c>
      <c r="E5" s="29"/>
      <c r="F5" s="15"/>
      <c r="G5" s="29" t="s">
        <v>39</v>
      </c>
      <c r="H5" s="29"/>
      <c r="I5" s="29"/>
      <c r="J5" s="29"/>
      <c r="K5" s="29"/>
      <c r="L5" s="29"/>
      <c r="M5" s="15"/>
      <c r="N5" s="29" t="s">
        <v>40</v>
      </c>
      <c r="O5" s="29"/>
      <c r="P5" s="29"/>
      <c r="Q5" s="29"/>
      <c r="R5" s="29"/>
      <c r="S5" s="29"/>
      <c r="T5" s="29"/>
      <c r="U5" s="29"/>
      <c r="V5" s="29"/>
      <c r="W5" s="15"/>
      <c r="X5" s="29" t="s">
        <v>41</v>
      </c>
      <c r="Y5" s="29"/>
    </row>
    <row r="6" spans="2:25" ht="29"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row>
    <row r="7" spans="2:25" ht="30" customHeight="1" x14ac:dyDescent="0.35">
      <c r="B7" s="10" t="s">
        <v>19</v>
      </c>
      <c r="C7" s="10">
        <v>6838</v>
      </c>
      <c r="D7" s="10">
        <v>3283</v>
      </c>
      <c r="E7" s="10">
        <v>3541</v>
      </c>
      <c r="F7" s="10"/>
      <c r="G7" s="10">
        <v>635</v>
      </c>
      <c r="H7" s="10">
        <v>1075</v>
      </c>
      <c r="I7" s="10">
        <v>1093</v>
      </c>
      <c r="J7" s="10">
        <v>1228</v>
      </c>
      <c r="K7" s="10">
        <v>1156</v>
      </c>
      <c r="L7" s="10">
        <v>1651</v>
      </c>
      <c r="M7" s="10"/>
      <c r="N7" s="10">
        <v>208</v>
      </c>
      <c r="O7" s="10">
        <v>200</v>
      </c>
      <c r="P7" s="10">
        <v>1002</v>
      </c>
      <c r="Q7" s="10">
        <v>1000</v>
      </c>
      <c r="R7" s="10">
        <v>1004</v>
      </c>
      <c r="S7" s="10">
        <v>1006</v>
      </c>
      <c r="T7" s="10">
        <v>1006</v>
      </c>
      <c r="U7" s="10">
        <v>1007</v>
      </c>
      <c r="V7" s="10">
        <v>405</v>
      </c>
      <c r="W7" s="10"/>
      <c r="X7" s="10">
        <v>2650</v>
      </c>
      <c r="Y7" s="10">
        <v>4188</v>
      </c>
    </row>
    <row r="8" spans="2:25" ht="30" customHeight="1" x14ac:dyDescent="0.35">
      <c r="B8" s="11" t="s">
        <v>20</v>
      </c>
      <c r="C8" s="11">
        <v>6838</v>
      </c>
      <c r="D8" s="11">
        <v>3309</v>
      </c>
      <c r="E8" s="11">
        <v>3515</v>
      </c>
      <c r="F8" s="11"/>
      <c r="G8" s="11">
        <v>645</v>
      </c>
      <c r="H8" s="11">
        <v>1026</v>
      </c>
      <c r="I8" s="11">
        <v>1111</v>
      </c>
      <c r="J8" s="11">
        <v>1184</v>
      </c>
      <c r="K8" s="11">
        <v>1140</v>
      </c>
      <c r="L8" s="11">
        <v>1732</v>
      </c>
      <c r="M8" s="11"/>
      <c r="N8" s="11">
        <v>208</v>
      </c>
      <c r="O8" s="11">
        <v>200</v>
      </c>
      <c r="P8" s="11">
        <v>1002</v>
      </c>
      <c r="Q8" s="11">
        <v>1000</v>
      </c>
      <c r="R8" s="11">
        <v>1004</v>
      </c>
      <c r="S8" s="11">
        <v>1006</v>
      </c>
      <c r="T8" s="11">
        <v>1006</v>
      </c>
      <c r="U8" s="11">
        <v>1007</v>
      </c>
      <c r="V8" s="11">
        <v>405</v>
      </c>
      <c r="W8" s="11"/>
      <c r="X8" s="11">
        <v>2436</v>
      </c>
      <c r="Y8" s="11">
        <v>4402</v>
      </c>
    </row>
    <row r="9" spans="2:25" x14ac:dyDescent="0.35">
      <c r="B9" s="18" t="s">
        <v>486</v>
      </c>
      <c r="C9" s="17">
        <v>0.35297194314498798</v>
      </c>
      <c r="D9" s="17">
        <v>0.35068176477093399</v>
      </c>
      <c r="E9" s="17">
        <v>0.354059065728484</v>
      </c>
      <c r="F9" s="17"/>
      <c r="G9" s="17">
        <v>0.363371318058336</v>
      </c>
      <c r="H9" s="17">
        <v>0.32979925926403197</v>
      </c>
      <c r="I9" s="17">
        <v>0.35977170982245299</v>
      </c>
      <c r="J9" s="17">
        <v>0.35034844502777801</v>
      </c>
      <c r="K9" s="17">
        <v>0.36457588361794802</v>
      </c>
      <c r="L9" s="17">
        <v>0.35261282817332601</v>
      </c>
      <c r="M9" s="17"/>
      <c r="N9" s="17">
        <v>0.32862600335095199</v>
      </c>
      <c r="O9" s="17">
        <v>0.35282764978187903</v>
      </c>
      <c r="P9" s="17">
        <v>0.27662017159540497</v>
      </c>
      <c r="Q9" s="17">
        <v>0.33275109455556001</v>
      </c>
      <c r="R9" s="17">
        <v>0.43305788083836499</v>
      </c>
      <c r="S9" s="17">
        <v>0.22198912760065201</v>
      </c>
      <c r="T9" s="17">
        <v>0.38280359012722898</v>
      </c>
      <c r="U9" s="17">
        <v>0.490173608338135</v>
      </c>
      <c r="V9" s="17">
        <v>0.31595430144550202</v>
      </c>
      <c r="W9" s="17"/>
      <c r="X9" s="17">
        <v>0.33713058057800899</v>
      </c>
      <c r="Y9" s="17">
        <v>0.36173802291420898</v>
      </c>
    </row>
    <row r="10" spans="2:25" x14ac:dyDescent="0.35">
      <c r="B10" s="18" t="s">
        <v>487</v>
      </c>
      <c r="C10" s="17">
        <v>0.32903883347586699</v>
      </c>
      <c r="D10" s="17">
        <v>0.338136622705562</v>
      </c>
      <c r="E10" s="17">
        <v>0.32145251217110399</v>
      </c>
      <c r="F10" s="17"/>
      <c r="G10" s="17">
        <v>0.34121398139274001</v>
      </c>
      <c r="H10" s="17">
        <v>0.35803404623544199</v>
      </c>
      <c r="I10" s="17">
        <v>0.359016519011497</v>
      </c>
      <c r="J10" s="17">
        <v>0.31520406987147198</v>
      </c>
      <c r="K10" s="17">
        <v>0.30790119849459402</v>
      </c>
      <c r="L10" s="17">
        <v>0.31148106681368598</v>
      </c>
      <c r="M10" s="17"/>
      <c r="N10" s="17">
        <v>0.252228007984233</v>
      </c>
      <c r="O10" s="17">
        <v>0.25892286773753898</v>
      </c>
      <c r="P10" s="17">
        <v>0.37960296412789302</v>
      </c>
      <c r="Q10" s="17">
        <v>0.30606503143510699</v>
      </c>
      <c r="R10" s="17">
        <v>0.36978747925732502</v>
      </c>
      <c r="S10" s="17">
        <v>0.304055760342548</v>
      </c>
      <c r="T10" s="17">
        <v>0.38967545365643802</v>
      </c>
      <c r="U10" s="17">
        <v>0.26433018457197199</v>
      </c>
      <c r="V10" s="17">
        <v>0.30605337354860401</v>
      </c>
      <c r="W10" s="17"/>
      <c r="X10" s="17">
        <v>0.32908535288757601</v>
      </c>
      <c r="Y10" s="17">
        <v>0.329013091190623</v>
      </c>
    </row>
    <row r="11" spans="2:25" x14ac:dyDescent="0.35">
      <c r="B11" s="18" t="s">
        <v>488</v>
      </c>
      <c r="C11" s="17">
        <v>0.18328152897519701</v>
      </c>
      <c r="D11" s="17">
        <v>0.193008057476138</v>
      </c>
      <c r="E11" s="17">
        <v>0.174582445247569</v>
      </c>
      <c r="F11" s="17"/>
      <c r="G11" s="17">
        <v>0.18415888068106401</v>
      </c>
      <c r="H11" s="17">
        <v>0.17360251667513801</v>
      </c>
      <c r="I11" s="17">
        <v>0.17794535940684</v>
      </c>
      <c r="J11" s="17">
        <v>0.18076078925403399</v>
      </c>
      <c r="K11" s="17">
        <v>0.18984752480406999</v>
      </c>
      <c r="L11" s="17">
        <v>0.18950843483903301</v>
      </c>
      <c r="M11" s="17"/>
      <c r="N11" s="17">
        <v>0.26629528111255601</v>
      </c>
      <c r="O11" s="17">
        <v>0.23111566482724599</v>
      </c>
      <c r="P11" s="17">
        <v>0.20129095789253401</v>
      </c>
      <c r="Q11" s="17">
        <v>0.17585492368140601</v>
      </c>
      <c r="R11" s="17">
        <v>0.14944895164785699</v>
      </c>
      <c r="S11" s="17">
        <v>0.25090866121358801</v>
      </c>
      <c r="T11" s="17">
        <v>0.100200944204017</v>
      </c>
      <c r="U11" s="17">
        <v>0.166765366674404</v>
      </c>
      <c r="V11" s="17">
        <v>0.25412924804970199</v>
      </c>
      <c r="W11" s="17"/>
      <c r="X11" s="17">
        <v>0.189488489135336</v>
      </c>
      <c r="Y11" s="17">
        <v>0.17984680499497799</v>
      </c>
    </row>
    <row r="12" spans="2:25" x14ac:dyDescent="0.35">
      <c r="B12" s="18" t="s">
        <v>489</v>
      </c>
      <c r="C12" s="17">
        <v>5.5273012981920097E-2</v>
      </c>
      <c r="D12" s="17">
        <v>5.1644076101664299E-2</v>
      </c>
      <c r="E12" s="17">
        <v>5.8910466347829198E-2</v>
      </c>
      <c r="F12" s="17"/>
      <c r="G12" s="17">
        <v>5.48829573762896E-2</v>
      </c>
      <c r="H12" s="17">
        <v>6.9645491953002597E-2</v>
      </c>
      <c r="I12" s="17">
        <v>5.6182188350417599E-2</v>
      </c>
      <c r="J12" s="17">
        <v>7.1172893290560896E-2</v>
      </c>
      <c r="K12" s="17">
        <v>5.3601024829855397E-2</v>
      </c>
      <c r="L12" s="17">
        <v>3.6562054131521998E-2</v>
      </c>
      <c r="M12" s="17"/>
      <c r="N12" s="17">
        <v>5.0815073130584497E-2</v>
      </c>
      <c r="O12" s="17">
        <v>5.5774134710307101E-2</v>
      </c>
      <c r="P12" s="17">
        <v>5.93150769300523E-2</v>
      </c>
      <c r="Q12" s="17">
        <v>7.6733283281477493E-2</v>
      </c>
      <c r="R12" s="17">
        <v>1.7427156990958599E-2</v>
      </c>
      <c r="S12" s="17">
        <v>0.111350152527906</v>
      </c>
      <c r="T12" s="17">
        <v>4.75111985183303E-2</v>
      </c>
      <c r="U12" s="17">
        <v>2.7392744051120702E-2</v>
      </c>
      <c r="V12" s="17">
        <v>3.7455882026770103E-2</v>
      </c>
      <c r="W12" s="17"/>
      <c r="X12" s="17">
        <v>7.4408751291460698E-2</v>
      </c>
      <c r="Y12" s="17">
        <v>4.4683935953026402E-2</v>
      </c>
    </row>
    <row r="13" spans="2:25" x14ac:dyDescent="0.35">
      <c r="B13" s="18" t="s">
        <v>490</v>
      </c>
      <c r="C13" s="17">
        <v>3.8273379928196002E-2</v>
      </c>
      <c r="D13" s="17">
        <v>3.5356234907970199E-2</v>
      </c>
      <c r="E13" s="17">
        <v>4.0266742510233197E-2</v>
      </c>
      <c r="F13" s="17"/>
      <c r="G13" s="17">
        <v>3.5918771014940502E-2</v>
      </c>
      <c r="H13" s="17">
        <v>4.15892164742723E-2</v>
      </c>
      <c r="I13" s="17">
        <v>2.2903075239774001E-2</v>
      </c>
      <c r="J13" s="17">
        <v>4.2050303440707003E-2</v>
      </c>
      <c r="K13" s="17">
        <v>4.3633902573852697E-2</v>
      </c>
      <c r="L13" s="17">
        <v>4.0936680974496799E-2</v>
      </c>
      <c r="M13" s="17"/>
      <c r="N13" s="17">
        <v>7.0085444511237105E-2</v>
      </c>
      <c r="O13" s="17">
        <v>6.0278927267481103E-2</v>
      </c>
      <c r="P13" s="17">
        <v>3.4831722527785901E-2</v>
      </c>
      <c r="Q13" s="17">
        <v>4.9863898482102001E-2</v>
      </c>
      <c r="R13" s="17">
        <v>9.3234194387146994E-3</v>
      </c>
      <c r="S13" s="17">
        <v>5.8933149506986401E-2</v>
      </c>
      <c r="T13" s="17">
        <v>3.3693257154937102E-2</v>
      </c>
      <c r="U13" s="17">
        <v>2.56818327960564E-2</v>
      </c>
      <c r="V13" s="17">
        <v>5.40988783660101E-2</v>
      </c>
      <c r="W13" s="17"/>
      <c r="X13" s="17">
        <v>3.8791742967446897E-2</v>
      </c>
      <c r="Y13" s="17">
        <v>3.7986535174010502E-2</v>
      </c>
    </row>
    <row r="14" spans="2:25" x14ac:dyDescent="0.35">
      <c r="B14" s="18" t="s">
        <v>80</v>
      </c>
      <c r="C14" s="17">
        <v>4.1161301493832098E-2</v>
      </c>
      <c r="D14" s="17">
        <v>3.11732440377319E-2</v>
      </c>
      <c r="E14" s="17">
        <v>5.0728767994780703E-2</v>
      </c>
      <c r="F14" s="17"/>
      <c r="G14" s="17">
        <v>2.04540914766289E-2</v>
      </c>
      <c r="H14" s="17">
        <v>2.7329469398112E-2</v>
      </c>
      <c r="I14" s="17">
        <v>2.4181148169018101E-2</v>
      </c>
      <c r="J14" s="17">
        <v>4.0463499115447499E-2</v>
      </c>
      <c r="K14" s="17">
        <v>4.0440465679680397E-2</v>
      </c>
      <c r="L14" s="17">
        <v>6.8898935067935693E-2</v>
      </c>
      <c r="M14" s="17"/>
      <c r="N14" s="17">
        <v>3.1950189910437597E-2</v>
      </c>
      <c r="O14" s="17">
        <v>4.1080755675547198E-2</v>
      </c>
      <c r="P14" s="17">
        <v>4.8339106926330602E-2</v>
      </c>
      <c r="Q14" s="17">
        <v>5.8731768564347503E-2</v>
      </c>
      <c r="R14" s="17">
        <v>2.0955111826780198E-2</v>
      </c>
      <c r="S14" s="17">
        <v>5.27631488083199E-2</v>
      </c>
      <c r="T14" s="17">
        <v>4.6115556339049603E-2</v>
      </c>
      <c r="U14" s="17">
        <v>2.5656263568311698E-2</v>
      </c>
      <c r="V14" s="17">
        <v>3.2308316563412001E-2</v>
      </c>
      <c r="W14" s="17"/>
      <c r="X14" s="17">
        <v>3.1095083140172199E-2</v>
      </c>
      <c r="Y14" s="17">
        <v>4.6731609773153902E-2</v>
      </c>
    </row>
    <row r="15" spans="2:25" x14ac:dyDescent="0.35">
      <c r="B15" s="18" t="s">
        <v>491</v>
      </c>
      <c r="C15" s="21">
        <v>0.68201077662085496</v>
      </c>
      <c r="D15" s="21">
        <v>0.68881838747649504</v>
      </c>
      <c r="E15" s="21">
        <v>0.67551157789958804</v>
      </c>
      <c r="F15" s="21"/>
      <c r="G15" s="21">
        <v>0.70458529945107695</v>
      </c>
      <c r="H15" s="21">
        <v>0.68783330549947497</v>
      </c>
      <c r="I15" s="21">
        <v>0.71878822883394999</v>
      </c>
      <c r="J15" s="21">
        <v>0.66555251489925005</v>
      </c>
      <c r="K15" s="21">
        <v>0.67247708211254198</v>
      </c>
      <c r="L15" s="21">
        <v>0.66409389498701199</v>
      </c>
      <c r="M15" s="21"/>
      <c r="N15" s="21">
        <v>0.58085401133518499</v>
      </c>
      <c r="O15" s="21">
        <v>0.611750517519418</v>
      </c>
      <c r="P15" s="21">
        <v>0.65622313572329805</v>
      </c>
      <c r="Q15" s="21">
        <v>0.63881612599066695</v>
      </c>
      <c r="R15" s="21">
        <v>0.80284536009568996</v>
      </c>
      <c r="S15" s="21">
        <v>0.52604488794319904</v>
      </c>
      <c r="T15" s="21">
        <v>0.77247904378366605</v>
      </c>
      <c r="U15" s="21">
        <v>0.75450379291010705</v>
      </c>
      <c r="V15" s="21">
        <v>0.62200767499410603</v>
      </c>
      <c r="W15" s="21"/>
      <c r="X15" s="21">
        <v>0.66621593346558405</v>
      </c>
      <c r="Y15" s="21">
        <v>0.69075111410483203</v>
      </c>
    </row>
    <row r="16" spans="2:25" x14ac:dyDescent="0.35">
      <c r="B16" s="18" t="s">
        <v>492</v>
      </c>
      <c r="C16" s="21">
        <v>9.3546392910116197E-2</v>
      </c>
      <c r="D16" s="21">
        <v>8.7000311009634498E-2</v>
      </c>
      <c r="E16" s="21">
        <v>9.9177208858062402E-2</v>
      </c>
      <c r="F16" s="21"/>
      <c r="G16" s="21">
        <v>9.0801728391230005E-2</v>
      </c>
      <c r="H16" s="21">
        <v>0.11123470842727499</v>
      </c>
      <c r="I16" s="21">
        <v>7.9085263590191607E-2</v>
      </c>
      <c r="J16" s="21">
        <v>0.113223196731268</v>
      </c>
      <c r="K16" s="21">
        <v>9.7234927403708094E-2</v>
      </c>
      <c r="L16" s="21">
        <v>7.7498735106018804E-2</v>
      </c>
      <c r="M16" s="21"/>
      <c r="N16" s="21">
        <v>0.120900517641822</v>
      </c>
      <c r="O16" s="21">
        <v>0.116053061977788</v>
      </c>
      <c r="P16" s="21">
        <v>9.4146799457838298E-2</v>
      </c>
      <c r="Q16" s="21">
        <v>0.12659718176358001</v>
      </c>
      <c r="R16" s="21">
        <v>2.6750576429673299E-2</v>
      </c>
      <c r="S16" s="21">
        <v>0.170283302034893</v>
      </c>
      <c r="T16" s="21">
        <v>8.1204455673267298E-2</v>
      </c>
      <c r="U16" s="21">
        <v>5.3074576847177098E-2</v>
      </c>
      <c r="V16" s="21">
        <v>9.1554760392780196E-2</v>
      </c>
      <c r="W16" s="21"/>
      <c r="X16" s="21">
        <v>0.113200494258908</v>
      </c>
      <c r="Y16" s="21">
        <v>8.2670471127037001E-2</v>
      </c>
    </row>
    <row r="17" spans="2:25" x14ac:dyDescent="0.35">
      <c r="B17" s="18" t="s">
        <v>92</v>
      </c>
      <c r="C17" s="22">
        <v>0.58846438371073795</v>
      </c>
      <c r="D17" s="22">
        <v>0.60181807646686103</v>
      </c>
      <c r="E17" s="22">
        <v>0.57633436904152602</v>
      </c>
      <c r="F17" s="22"/>
      <c r="G17" s="22">
        <v>0.61378357105984704</v>
      </c>
      <c r="H17" s="22">
        <v>0.57659859707219996</v>
      </c>
      <c r="I17" s="22">
        <v>0.63970296524375903</v>
      </c>
      <c r="J17" s="22">
        <v>0.55232931816798203</v>
      </c>
      <c r="K17" s="22">
        <v>0.575242154708834</v>
      </c>
      <c r="L17" s="22">
        <v>0.58659515988099298</v>
      </c>
      <c r="M17" s="22"/>
      <c r="N17" s="22">
        <v>0.45995349369336302</v>
      </c>
      <c r="O17" s="22">
        <v>0.49569745554163003</v>
      </c>
      <c r="P17" s="22">
        <v>0.56207633626545905</v>
      </c>
      <c r="Q17" s="22">
        <v>0.51221894422708703</v>
      </c>
      <c r="R17" s="22">
        <v>0.77609478366601603</v>
      </c>
      <c r="S17" s="22">
        <v>0.35576158590830698</v>
      </c>
      <c r="T17" s="22">
        <v>0.69127458811039899</v>
      </c>
      <c r="U17" s="22">
        <v>0.70142921606292996</v>
      </c>
      <c r="V17" s="22">
        <v>0.53045291460132604</v>
      </c>
      <c r="W17" s="22"/>
      <c r="X17" s="22">
        <v>0.55301543920667695</v>
      </c>
      <c r="Y17" s="22">
        <v>0.60808064297779496</v>
      </c>
    </row>
    <row r="18" spans="2:25" x14ac:dyDescent="0.35">
      <c r="B18" s="16"/>
    </row>
    <row r="19" spans="2:25" x14ac:dyDescent="0.35">
      <c r="B19" t="s">
        <v>51</v>
      </c>
    </row>
    <row r="20" spans="2:25" x14ac:dyDescent="0.35">
      <c r="B20" t="s">
        <v>52</v>
      </c>
    </row>
    <row r="22" spans="2:25" x14ac:dyDescent="0.35">
      <c r="B22" s="8" t="str">
        <f>HYPERLINK("#'Contents'!A1", "Return to Contents")</f>
        <v>Return to Contents</v>
      </c>
    </row>
  </sheetData>
  <mergeCells count="5">
    <mergeCell ref="D5:E5"/>
    <mergeCell ref="G5:L5"/>
    <mergeCell ref="N5:V5"/>
    <mergeCell ref="X5:Y5"/>
    <mergeCell ref="D2:W2"/>
  </mergeCells>
  <pageMargins left="0.7" right="0.7" top="0.75" bottom="0.75" header="0.3" footer="0.3"/>
  <pageSetup paperSize="9" orientation="portrait" horizontalDpi="300" verticalDpi="300"/>
  <drawing r:id="rId1"/>
</worksheet>
</file>

<file path=xl/worksheets/sheet1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E00-000000000000}">
  <dimension ref="B2:Y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s>
  <sheetData>
    <row r="2" spans="2:25" ht="40" customHeight="1" x14ac:dyDescent="0.35">
      <c r="D2" s="30" t="s">
        <v>498</v>
      </c>
      <c r="E2" s="26"/>
      <c r="F2" s="26"/>
      <c r="G2" s="26"/>
      <c r="H2" s="26"/>
      <c r="I2" s="26"/>
      <c r="J2" s="26"/>
      <c r="K2" s="26"/>
      <c r="L2" s="26"/>
      <c r="M2" s="26"/>
      <c r="N2" s="26"/>
      <c r="O2" s="26"/>
      <c r="P2" s="26"/>
      <c r="Q2" s="26"/>
      <c r="R2" s="26"/>
      <c r="S2" s="26"/>
      <c r="T2" s="26"/>
      <c r="U2" s="26"/>
      <c r="V2" s="26"/>
      <c r="W2" s="26"/>
    </row>
    <row r="5" spans="2:25" ht="30" customHeight="1" x14ac:dyDescent="0.35">
      <c r="B5" s="15"/>
      <c r="C5" s="15"/>
      <c r="D5" s="29" t="s">
        <v>38</v>
      </c>
      <c r="E5" s="29"/>
      <c r="F5" s="15"/>
      <c r="G5" s="29" t="s">
        <v>39</v>
      </c>
      <c r="H5" s="29"/>
      <c r="I5" s="29"/>
      <c r="J5" s="29"/>
      <c r="K5" s="29"/>
      <c r="L5" s="29"/>
      <c r="M5" s="15"/>
      <c r="N5" s="29" t="s">
        <v>40</v>
      </c>
      <c r="O5" s="29"/>
      <c r="P5" s="29"/>
      <c r="Q5" s="29"/>
      <c r="R5" s="29"/>
      <c r="S5" s="29"/>
      <c r="T5" s="29"/>
      <c r="U5" s="29"/>
      <c r="V5" s="29"/>
      <c r="W5" s="15"/>
      <c r="X5" s="29" t="s">
        <v>41</v>
      </c>
      <c r="Y5" s="29"/>
    </row>
    <row r="6" spans="2:25" ht="29"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row>
    <row r="7" spans="2:25" ht="30" customHeight="1" x14ac:dyDescent="0.35">
      <c r="B7" s="10" t="s">
        <v>19</v>
      </c>
      <c r="C7" s="10">
        <v>6838</v>
      </c>
      <c r="D7" s="10">
        <v>3283</v>
      </c>
      <c r="E7" s="10">
        <v>3541</v>
      </c>
      <c r="F7" s="10"/>
      <c r="G7" s="10">
        <v>635</v>
      </c>
      <c r="H7" s="10">
        <v>1075</v>
      </c>
      <c r="I7" s="10">
        <v>1093</v>
      </c>
      <c r="J7" s="10">
        <v>1228</v>
      </c>
      <c r="K7" s="10">
        <v>1156</v>
      </c>
      <c r="L7" s="10">
        <v>1651</v>
      </c>
      <c r="M7" s="10"/>
      <c r="N7" s="10">
        <v>208</v>
      </c>
      <c r="O7" s="10">
        <v>200</v>
      </c>
      <c r="P7" s="10">
        <v>1002</v>
      </c>
      <c r="Q7" s="10">
        <v>1000</v>
      </c>
      <c r="R7" s="10">
        <v>1004</v>
      </c>
      <c r="S7" s="10">
        <v>1006</v>
      </c>
      <c r="T7" s="10">
        <v>1006</v>
      </c>
      <c r="U7" s="10">
        <v>1007</v>
      </c>
      <c r="V7" s="10">
        <v>405</v>
      </c>
      <c r="W7" s="10"/>
      <c r="X7" s="10">
        <v>2650</v>
      </c>
      <c r="Y7" s="10">
        <v>4188</v>
      </c>
    </row>
    <row r="8" spans="2:25" ht="30" customHeight="1" x14ac:dyDescent="0.35">
      <c r="B8" s="11" t="s">
        <v>20</v>
      </c>
      <c r="C8" s="11">
        <v>6838</v>
      </c>
      <c r="D8" s="11">
        <v>3309</v>
      </c>
      <c r="E8" s="11">
        <v>3515</v>
      </c>
      <c r="F8" s="11"/>
      <c r="G8" s="11">
        <v>645</v>
      </c>
      <c r="H8" s="11">
        <v>1026</v>
      </c>
      <c r="I8" s="11">
        <v>1111</v>
      </c>
      <c r="J8" s="11">
        <v>1184</v>
      </c>
      <c r="K8" s="11">
        <v>1140</v>
      </c>
      <c r="L8" s="11">
        <v>1732</v>
      </c>
      <c r="M8" s="11"/>
      <c r="N8" s="11">
        <v>208</v>
      </c>
      <c r="O8" s="11">
        <v>200</v>
      </c>
      <c r="P8" s="11">
        <v>1002</v>
      </c>
      <c r="Q8" s="11">
        <v>1000</v>
      </c>
      <c r="R8" s="11">
        <v>1004</v>
      </c>
      <c r="S8" s="11">
        <v>1006</v>
      </c>
      <c r="T8" s="11">
        <v>1006</v>
      </c>
      <c r="U8" s="11">
        <v>1007</v>
      </c>
      <c r="V8" s="11">
        <v>405</v>
      </c>
      <c r="W8" s="11"/>
      <c r="X8" s="11">
        <v>2436</v>
      </c>
      <c r="Y8" s="11">
        <v>4402</v>
      </c>
    </row>
    <row r="9" spans="2:25" x14ac:dyDescent="0.35">
      <c r="B9" s="18" t="s">
        <v>486</v>
      </c>
      <c r="C9" s="17">
        <v>5.8674904463745001E-2</v>
      </c>
      <c r="D9" s="17">
        <v>7.3412795213693302E-2</v>
      </c>
      <c r="E9" s="17">
        <v>4.5035427747844699E-2</v>
      </c>
      <c r="F9" s="17"/>
      <c r="G9" s="17">
        <v>9.7250005719842006E-2</v>
      </c>
      <c r="H9" s="17">
        <v>8.6124755721608298E-2</v>
      </c>
      <c r="I9" s="17">
        <v>6.9593301744245495E-2</v>
      </c>
      <c r="J9" s="17">
        <v>4.6530268876131001E-2</v>
      </c>
      <c r="K9" s="17">
        <v>4.2430453790924402E-2</v>
      </c>
      <c r="L9" s="17">
        <v>4.0057207933515901E-2</v>
      </c>
      <c r="M9" s="17"/>
      <c r="N9" s="17">
        <v>0.192740304031119</v>
      </c>
      <c r="O9" s="17">
        <v>0.10563582101183799</v>
      </c>
      <c r="P9" s="17">
        <v>4.4537203288912398E-2</v>
      </c>
      <c r="Q9" s="17">
        <v>3.2655275421710303E-2</v>
      </c>
      <c r="R9" s="17">
        <v>1.79128339634483E-2</v>
      </c>
      <c r="S9" s="17">
        <v>8.5886335655186802E-2</v>
      </c>
      <c r="T9" s="17">
        <v>3.2828100585064003E-2</v>
      </c>
      <c r="U9" s="17">
        <v>5.8127906187283501E-2</v>
      </c>
      <c r="V9" s="17">
        <v>0.16487478142582301</v>
      </c>
      <c r="W9" s="17"/>
      <c r="X9" s="17">
        <v>8.5595083712866601E-2</v>
      </c>
      <c r="Y9" s="17">
        <v>4.3778178396036899E-2</v>
      </c>
    </row>
    <row r="10" spans="2:25" x14ac:dyDescent="0.35">
      <c r="B10" s="18" t="s">
        <v>487</v>
      </c>
      <c r="C10" s="17">
        <v>0.19149971347618999</v>
      </c>
      <c r="D10" s="17">
        <v>0.21323085586107299</v>
      </c>
      <c r="E10" s="17">
        <v>0.17090408904309101</v>
      </c>
      <c r="F10" s="17"/>
      <c r="G10" s="17">
        <v>0.24510277043701501</v>
      </c>
      <c r="H10" s="17">
        <v>0.21937317768641501</v>
      </c>
      <c r="I10" s="17">
        <v>0.22771369564800301</v>
      </c>
      <c r="J10" s="17">
        <v>0.195484046952933</v>
      </c>
      <c r="K10" s="17">
        <v>0.16683708210921</v>
      </c>
      <c r="L10" s="17">
        <v>0.14533201417778899</v>
      </c>
      <c r="M10" s="17"/>
      <c r="N10" s="17">
        <v>0.37151359785688098</v>
      </c>
      <c r="O10" s="17">
        <v>0.47707228633613402</v>
      </c>
      <c r="P10" s="17">
        <v>0.186706222119009</v>
      </c>
      <c r="Q10" s="17">
        <v>0.114209556417447</v>
      </c>
      <c r="R10" s="17">
        <v>0.13017716489452</v>
      </c>
      <c r="S10" s="17">
        <v>0.233340889354852</v>
      </c>
      <c r="T10" s="17">
        <v>0.116262553400691</v>
      </c>
      <c r="U10" s="17">
        <v>0.20116234839925801</v>
      </c>
      <c r="V10" s="17">
        <v>0.37167195640445699</v>
      </c>
      <c r="W10" s="17"/>
      <c r="X10" s="17">
        <v>0.22869408662906701</v>
      </c>
      <c r="Y10" s="17">
        <v>0.17091759242153101</v>
      </c>
    </row>
    <row r="11" spans="2:25" x14ac:dyDescent="0.35">
      <c r="B11" s="18" t="s">
        <v>488</v>
      </c>
      <c r="C11" s="17">
        <v>0.31043996351824499</v>
      </c>
      <c r="D11" s="17">
        <v>0.30400170972127299</v>
      </c>
      <c r="E11" s="17">
        <v>0.31655156111076799</v>
      </c>
      <c r="F11" s="17"/>
      <c r="G11" s="17">
        <v>0.26967601393221502</v>
      </c>
      <c r="H11" s="17">
        <v>0.28900543480114299</v>
      </c>
      <c r="I11" s="17">
        <v>0.29636220428770899</v>
      </c>
      <c r="J11" s="17">
        <v>0.31759249791316602</v>
      </c>
      <c r="K11" s="17">
        <v>0.33611086430214299</v>
      </c>
      <c r="L11" s="17">
        <v>0.32554450804598101</v>
      </c>
      <c r="M11" s="17"/>
      <c r="N11" s="17">
        <v>0.26337756596929501</v>
      </c>
      <c r="O11" s="17">
        <v>0.30477615048470402</v>
      </c>
      <c r="P11" s="17">
        <v>0.39617360724727901</v>
      </c>
      <c r="Q11" s="17">
        <v>0.22281476417759699</v>
      </c>
      <c r="R11" s="17">
        <v>0.34548487778624298</v>
      </c>
      <c r="S11" s="17">
        <v>0.34791980633967401</v>
      </c>
      <c r="T11" s="17">
        <v>0.23706179746661099</v>
      </c>
      <c r="U11" s="17">
        <v>0.34734726527863102</v>
      </c>
      <c r="V11" s="17">
        <v>0.25218020053762602</v>
      </c>
      <c r="W11" s="17"/>
      <c r="X11" s="17">
        <v>0.2867608780482</v>
      </c>
      <c r="Y11" s="17">
        <v>0.32354317678130701</v>
      </c>
    </row>
    <row r="12" spans="2:25" x14ac:dyDescent="0.35">
      <c r="B12" s="18" t="s">
        <v>489</v>
      </c>
      <c r="C12" s="17">
        <v>0.211755282314917</v>
      </c>
      <c r="D12" s="17">
        <v>0.20923851113990599</v>
      </c>
      <c r="E12" s="17">
        <v>0.21473912152299399</v>
      </c>
      <c r="F12" s="17"/>
      <c r="G12" s="17">
        <v>0.21158880227416099</v>
      </c>
      <c r="H12" s="17">
        <v>0.20414419711776399</v>
      </c>
      <c r="I12" s="17">
        <v>0.191355834471023</v>
      </c>
      <c r="J12" s="17">
        <v>0.203415145962589</v>
      </c>
      <c r="K12" s="17">
        <v>0.22168231416707401</v>
      </c>
      <c r="L12" s="17">
        <v>0.228573224950881</v>
      </c>
      <c r="M12" s="17"/>
      <c r="N12" s="17">
        <v>6.4167044513863306E-2</v>
      </c>
      <c r="O12" s="17">
        <v>4.4905484441823497E-2</v>
      </c>
      <c r="P12" s="17">
        <v>0.19368182117045901</v>
      </c>
      <c r="Q12" s="17">
        <v>0.32051335577977302</v>
      </c>
      <c r="R12" s="17">
        <v>0.27321876439786802</v>
      </c>
      <c r="S12" s="17">
        <v>0.10894214045412901</v>
      </c>
      <c r="T12" s="17">
        <v>0.28515549823762198</v>
      </c>
      <c r="U12" s="17">
        <v>0.211423951108279</v>
      </c>
      <c r="V12" s="17">
        <v>6.7640629590579204E-2</v>
      </c>
      <c r="W12" s="17"/>
      <c r="X12" s="17">
        <v>0.21033743770042801</v>
      </c>
      <c r="Y12" s="17">
        <v>0.212539870063504</v>
      </c>
    </row>
    <row r="13" spans="2:25" x14ac:dyDescent="0.35">
      <c r="B13" s="18" t="s">
        <v>490</v>
      </c>
      <c r="C13" s="17">
        <v>0.13196981914543399</v>
      </c>
      <c r="D13" s="17">
        <v>0.14192893480506799</v>
      </c>
      <c r="E13" s="17">
        <v>0.121711212938602</v>
      </c>
      <c r="F13" s="17"/>
      <c r="G13" s="17">
        <v>0.113183423282174</v>
      </c>
      <c r="H13" s="17">
        <v>0.14055100717257499</v>
      </c>
      <c r="I13" s="17">
        <v>0.127582427071252</v>
      </c>
      <c r="J13" s="17">
        <v>0.129182312395167</v>
      </c>
      <c r="K13" s="17">
        <v>0.12923589715383699</v>
      </c>
      <c r="L13" s="17">
        <v>0.14039984529556301</v>
      </c>
      <c r="M13" s="17"/>
      <c r="N13" s="17">
        <v>1.4710726507123E-2</v>
      </c>
      <c r="O13" s="17">
        <v>1.48085540019406E-2</v>
      </c>
      <c r="P13" s="17">
        <v>6.2447794450708999E-2</v>
      </c>
      <c r="Q13" s="17">
        <v>0.24738546667667399</v>
      </c>
      <c r="R13" s="17">
        <v>0.16422600754661801</v>
      </c>
      <c r="S13" s="17">
        <v>3.0810694790629999E-2</v>
      </c>
      <c r="T13" s="17">
        <v>0.25102494591693503</v>
      </c>
      <c r="U13" s="17">
        <v>0.130537101014843</v>
      </c>
      <c r="V13" s="17">
        <v>1.6220982310516701E-2</v>
      </c>
      <c r="W13" s="17"/>
      <c r="X13" s="17">
        <v>0.12500532628918901</v>
      </c>
      <c r="Y13" s="17">
        <v>0.135823736361954</v>
      </c>
    </row>
    <row r="14" spans="2:25" x14ac:dyDescent="0.35">
      <c r="B14" s="18" t="s">
        <v>80</v>
      </c>
      <c r="C14" s="17">
        <v>9.5660317081469798E-2</v>
      </c>
      <c r="D14" s="17">
        <v>5.8187193258986497E-2</v>
      </c>
      <c r="E14" s="17">
        <v>0.1310585876367</v>
      </c>
      <c r="F14" s="17"/>
      <c r="G14" s="17">
        <v>6.3198984354593798E-2</v>
      </c>
      <c r="H14" s="17">
        <v>6.0801427500494103E-2</v>
      </c>
      <c r="I14" s="17">
        <v>8.7392536777767399E-2</v>
      </c>
      <c r="J14" s="17">
        <v>0.107795727900013</v>
      </c>
      <c r="K14" s="17">
        <v>0.103703388476811</v>
      </c>
      <c r="L14" s="17">
        <v>0.12009319959627</v>
      </c>
      <c r="M14" s="17"/>
      <c r="N14" s="17">
        <v>9.3490761121719501E-2</v>
      </c>
      <c r="O14" s="17">
        <v>5.2801703723559898E-2</v>
      </c>
      <c r="P14" s="17">
        <v>0.116453351723631</v>
      </c>
      <c r="Q14" s="17">
        <v>6.2421581526797797E-2</v>
      </c>
      <c r="R14" s="17">
        <v>6.8980351411301696E-2</v>
      </c>
      <c r="S14" s="17">
        <v>0.19310013340552801</v>
      </c>
      <c r="T14" s="17">
        <v>7.7667104393076697E-2</v>
      </c>
      <c r="U14" s="17">
        <v>5.1401428011704602E-2</v>
      </c>
      <c r="V14" s="17">
        <v>0.12741144973099799</v>
      </c>
      <c r="W14" s="17"/>
      <c r="X14" s="17">
        <v>6.3607187620249805E-2</v>
      </c>
      <c r="Y14" s="17">
        <v>0.11339744597566701</v>
      </c>
    </row>
    <row r="15" spans="2:25" x14ac:dyDescent="0.35">
      <c r="B15" s="18" t="s">
        <v>491</v>
      </c>
      <c r="C15" s="21">
        <v>0.25017461793993501</v>
      </c>
      <c r="D15" s="21">
        <v>0.28664365107476603</v>
      </c>
      <c r="E15" s="21">
        <v>0.21593951679093601</v>
      </c>
      <c r="F15" s="21"/>
      <c r="G15" s="21">
        <v>0.342352776156857</v>
      </c>
      <c r="H15" s="21">
        <v>0.305497933408024</v>
      </c>
      <c r="I15" s="21">
        <v>0.29730699739224797</v>
      </c>
      <c r="J15" s="21">
        <v>0.24201431582906399</v>
      </c>
      <c r="K15" s="21">
        <v>0.209267535900134</v>
      </c>
      <c r="L15" s="21">
        <v>0.18538922211130501</v>
      </c>
      <c r="M15" s="21"/>
      <c r="N15" s="21">
        <v>0.56425390188799995</v>
      </c>
      <c r="O15" s="21">
        <v>0.58270810734797196</v>
      </c>
      <c r="P15" s="21">
        <v>0.231243425407921</v>
      </c>
      <c r="Q15" s="21">
        <v>0.146864831839157</v>
      </c>
      <c r="R15" s="21">
        <v>0.148089998857969</v>
      </c>
      <c r="S15" s="21">
        <v>0.31922722501003897</v>
      </c>
      <c r="T15" s="21">
        <v>0.149090653985755</v>
      </c>
      <c r="U15" s="21">
        <v>0.25929025458654198</v>
      </c>
      <c r="V15" s="21">
        <v>0.53654673783027995</v>
      </c>
      <c r="W15" s="21"/>
      <c r="X15" s="21">
        <v>0.31428917034193399</v>
      </c>
      <c r="Y15" s="21">
        <v>0.21469577081756799</v>
      </c>
    </row>
    <row r="16" spans="2:25" x14ac:dyDescent="0.35">
      <c r="B16" s="18" t="s">
        <v>492</v>
      </c>
      <c r="C16" s="21">
        <v>0.34372510146035101</v>
      </c>
      <c r="D16" s="21">
        <v>0.35116744594497401</v>
      </c>
      <c r="E16" s="21">
        <v>0.336450334461596</v>
      </c>
      <c r="F16" s="21"/>
      <c r="G16" s="21">
        <v>0.324772225556335</v>
      </c>
      <c r="H16" s="21">
        <v>0.34469520429033901</v>
      </c>
      <c r="I16" s="21">
        <v>0.318938261542275</v>
      </c>
      <c r="J16" s="21">
        <v>0.332597458357757</v>
      </c>
      <c r="K16" s="21">
        <v>0.350918211320911</v>
      </c>
      <c r="L16" s="21">
        <v>0.36897307024644399</v>
      </c>
      <c r="M16" s="21"/>
      <c r="N16" s="21">
        <v>7.8877771020986295E-2</v>
      </c>
      <c r="O16" s="21">
        <v>5.9714038443764099E-2</v>
      </c>
      <c r="P16" s="21">
        <v>0.25612961562116798</v>
      </c>
      <c r="Q16" s="21">
        <v>0.56789882245644696</v>
      </c>
      <c r="R16" s="21">
        <v>0.437444771944486</v>
      </c>
      <c r="S16" s="21">
        <v>0.13975283524475901</v>
      </c>
      <c r="T16" s="21">
        <v>0.53618044415455701</v>
      </c>
      <c r="U16" s="21">
        <v>0.341961052123122</v>
      </c>
      <c r="V16" s="21">
        <v>8.3861611901095895E-2</v>
      </c>
      <c r="W16" s="21"/>
      <c r="X16" s="21">
        <v>0.33534276398961599</v>
      </c>
      <c r="Y16" s="21">
        <v>0.34836360642545799</v>
      </c>
    </row>
    <row r="17" spans="2:25" x14ac:dyDescent="0.35">
      <c r="B17" s="18" t="s">
        <v>92</v>
      </c>
      <c r="C17" s="22">
        <v>-9.3550483520416394E-2</v>
      </c>
      <c r="D17" s="22">
        <v>-6.4523794870208401E-2</v>
      </c>
      <c r="E17" s="22">
        <v>-0.12051081767066101</v>
      </c>
      <c r="F17" s="22"/>
      <c r="G17" s="22">
        <v>1.7580550600522001E-2</v>
      </c>
      <c r="H17" s="22">
        <v>-3.9197270882315498E-2</v>
      </c>
      <c r="I17" s="22">
        <v>-2.1631264150026901E-2</v>
      </c>
      <c r="J17" s="22">
        <v>-9.0583142528692706E-2</v>
      </c>
      <c r="K17" s="22">
        <v>-0.141650675420777</v>
      </c>
      <c r="L17" s="22">
        <v>-0.18358384813514</v>
      </c>
      <c r="M17" s="22"/>
      <c r="N17" s="22">
        <v>0.48537613086701298</v>
      </c>
      <c r="O17" s="22">
        <v>0.52299406890420796</v>
      </c>
      <c r="P17" s="22">
        <v>-2.4886190213247599E-2</v>
      </c>
      <c r="Q17" s="22">
        <v>-0.42103399061729002</v>
      </c>
      <c r="R17" s="22">
        <v>-0.28935477308651802</v>
      </c>
      <c r="S17" s="22">
        <v>0.17947438976527999</v>
      </c>
      <c r="T17" s="22">
        <v>-0.38708979016880202</v>
      </c>
      <c r="U17" s="22">
        <v>-8.2670797536580104E-2</v>
      </c>
      <c r="V17" s="22">
        <v>0.45268512592918397</v>
      </c>
      <c r="W17" s="22"/>
      <c r="X17" s="22">
        <v>-2.1053593647682601E-2</v>
      </c>
      <c r="Y17" s="22">
        <v>-0.13366783560789</v>
      </c>
    </row>
    <row r="18" spans="2:25" x14ac:dyDescent="0.35">
      <c r="B18" s="16"/>
    </row>
    <row r="19" spans="2:25" x14ac:dyDescent="0.35">
      <c r="B19" t="s">
        <v>51</v>
      </c>
    </row>
    <row r="20" spans="2:25" x14ac:dyDescent="0.35">
      <c r="B20" t="s">
        <v>52</v>
      </c>
    </row>
    <row r="22" spans="2:25" x14ac:dyDescent="0.35">
      <c r="B22" s="8" t="str">
        <f>HYPERLINK("#'Contents'!A1", "Return to Contents")</f>
        <v>Return to Contents</v>
      </c>
    </row>
  </sheetData>
  <mergeCells count="5">
    <mergeCell ref="D5:E5"/>
    <mergeCell ref="G5:L5"/>
    <mergeCell ref="N5:V5"/>
    <mergeCell ref="X5:Y5"/>
    <mergeCell ref="D2:W2"/>
  </mergeCells>
  <pageMargins left="0.7" right="0.7" top="0.75" bottom="0.75" header="0.3" footer="0.3"/>
  <pageSetup paperSize="9" orientation="portrait" horizontalDpi="300" verticalDpi="300"/>
  <drawing r:id="rId1"/>
</worksheet>
</file>

<file path=xl/worksheets/sheet1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F00-000000000000}">
  <dimension ref="B2:Y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s>
  <sheetData>
    <row r="2" spans="2:25" ht="40" customHeight="1" x14ac:dyDescent="0.35">
      <c r="D2" s="30" t="s">
        <v>499</v>
      </c>
      <c r="E2" s="26"/>
      <c r="F2" s="26"/>
      <c r="G2" s="26"/>
      <c r="H2" s="26"/>
      <c r="I2" s="26"/>
      <c r="J2" s="26"/>
      <c r="K2" s="26"/>
      <c r="L2" s="26"/>
      <c r="M2" s="26"/>
      <c r="N2" s="26"/>
      <c r="O2" s="26"/>
      <c r="P2" s="26"/>
      <c r="Q2" s="26"/>
      <c r="R2" s="26"/>
      <c r="S2" s="26"/>
      <c r="T2" s="26"/>
      <c r="U2" s="26"/>
      <c r="V2" s="26"/>
      <c r="W2" s="26"/>
    </row>
    <row r="5" spans="2:25" ht="30" customHeight="1" x14ac:dyDescent="0.35">
      <c r="B5" s="15"/>
      <c r="C5" s="15"/>
      <c r="D5" s="29" t="s">
        <v>38</v>
      </c>
      <c r="E5" s="29"/>
      <c r="F5" s="15"/>
      <c r="G5" s="29" t="s">
        <v>39</v>
      </c>
      <c r="H5" s="29"/>
      <c r="I5" s="29"/>
      <c r="J5" s="29"/>
      <c r="K5" s="29"/>
      <c r="L5" s="29"/>
      <c r="M5" s="15"/>
      <c r="N5" s="29" t="s">
        <v>40</v>
      </c>
      <c r="O5" s="29"/>
      <c r="P5" s="29"/>
      <c r="Q5" s="29"/>
      <c r="R5" s="29"/>
      <c r="S5" s="29"/>
      <c r="T5" s="29"/>
      <c r="U5" s="29"/>
      <c r="V5" s="29"/>
      <c r="W5" s="15"/>
      <c r="X5" s="29" t="s">
        <v>41</v>
      </c>
      <c r="Y5" s="29"/>
    </row>
    <row r="6" spans="2:25" ht="29"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row>
    <row r="7" spans="2:25" ht="30" customHeight="1" x14ac:dyDescent="0.35">
      <c r="B7" s="10" t="s">
        <v>19</v>
      </c>
      <c r="C7" s="10">
        <v>6838</v>
      </c>
      <c r="D7" s="10">
        <v>3283</v>
      </c>
      <c r="E7" s="10">
        <v>3541</v>
      </c>
      <c r="F7" s="10"/>
      <c r="G7" s="10">
        <v>635</v>
      </c>
      <c r="H7" s="10">
        <v>1075</v>
      </c>
      <c r="I7" s="10">
        <v>1093</v>
      </c>
      <c r="J7" s="10">
        <v>1228</v>
      </c>
      <c r="K7" s="10">
        <v>1156</v>
      </c>
      <c r="L7" s="10">
        <v>1651</v>
      </c>
      <c r="M7" s="10"/>
      <c r="N7" s="10">
        <v>208</v>
      </c>
      <c r="O7" s="10">
        <v>200</v>
      </c>
      <c r="P7" s="10">
        <v>1002</v>
      </c>
      <c r="Q7" s="10">
        <v>1000</v>
      </c>
      <c r="R7" s="10">
        <v>1004</v>
      </c>
      <c r="S7" s="10">
        <v>1006</v>
      </c>
      <c r="T7" s="10">
        <v>1006</v>
      </c>
      <c r="U7" s="10">
        <v>1007</v>
      </c>
      <c r="V7" s="10">
        <v>405</v>
      </c>
      <c r="W7" s="10"/>
      <c r="X7" s="10">
        <v>2650</v>
      </c>
      <c r="Y7" s="10">
        <v>4188</v>
      </c>
    </row>
    <row r="8" spans="2:25" ht="30" customHeight="1" x14ac:dyDescent="0.35">
      <c r="B8" s="11" t="s">
        <v>20</v>
      </c>
      <c r="C8" s="11">
        <v>6838</v>
      </c>
      <c r="D8" s="11">
        <v>3309</v>
      </c>
      <c r="E8" s="11">
        <v>3515</v>
      </c>
      <c r="F8" s="11"/>
      <c r="G8" s="11">
        <v>645</v>
      </c>
      <c r="H8" s="11">
        <v>1026</v>
      </c>
      <c r="I8" s="11">
        <v>1111</v>
      </c>
      <c r="J8" s="11">
        <v>1184</v>
      </c>
      <c r="K8" s="11">
        <v>1140</v>
      </c>
      <c r="L8" s="11">
        <v>1732</v>
      </c>
      <c r="M8" s="11"/>
      <c r="N8" s="11">
        <v>208</v>
      </c>
      <c r="O8" s="11">
        <v>200</v>
      </c>
      <c r="P8" s="11">
        <v>1002</v>
      </c>
      <c r="Q8" s="11">
        <v>1000</v>
      </c>
      <c r="R8" s="11">
        <v>1004</v>
      </c>
      <c r="S8" s="11">
        <v>1006</v>
      </c>
      <c r="T8" s="11">
        <v>1006</v>
      </c>
      <c r="U8" s="11">
        <v>1007</v>
      </c>
      <c r="V8" s="11">
        <v>405</v>
      </c>
      <c r="W8" s="11"/>
      <c r="X8" s="11">
        <v>2436</v>
      </c>
      <c r="Y8" s="11">
        <v>4402</v>
      </c>
    </row>
    <row r="9" spans="2:25" x14ac:dyDescent="0.35">
      <c r="B9" s="18" t="s">
        <v>85</v>
      </c>
      <c r="C9" s="17">
        <v>6.7395809814047594E-2</v>
      </c>
      <c r="D9" s="17">
        <v>8.2952073609056903E-2</v>
      </c>
      <c r="E9" s="17">
        <v>5.2744903449771403E-2</v>
      </c>
      <c r="F9" s="17"/>
      <c r="G9" s="17">
        <v>0.11769259009300501</v>
      </c>
      <c r="H9" s="17">
        <v>0.11337814296073399</v>
      </c>
      <c r="I9" s="17">
        <v>7.6080786224329205E-2</v>
      </c>
      <c r="J9" s="17">
        <v>5.55293649752426E-2</v>
      </c>
      <c r="K9" s="17">
        <v>5.06403075868238E-2</v>
      </c>
      <c r="L9" s="17">
        <v>3.5023893922894303E-2</v>
      </c>
      <c r="M9" s="17"/>
      <c r="N9" s="17">
        <v>0.14636913948186001</v>
      </c>
      <c r="O9" s="17">
        <v>0.15008841427745101</v>
      </c>
      <c r="P9" s="17">
        <v>5.3843266980374997E-2</v>
      </c>
      <c r="Q9" s="17">
        <v>6.5400895486783406E-2</v>
      </c>
      <c r="R9" s="17">
        <v>4.9895105982617503E-2</v>
      </c>
      <c r="S9" s="17">
        <v>7.86685271174727E-2</v>
      </c>
      <c r="T9" s="17">
        <v>4.0956579014010501E-2</v>
      </c>
      <c r="U9" s="17">
        <v>7.5117407517321003E-2</v>
      </c>
      <c r="V9" s="17">
        <v>8.6314721221874502E-2</v>
      </c>
      <c r="W9" s="17"/>
      <c r="X9" s="17">
        <v>8.6630877216736304E-2</v>
      </c>
      <c r="Y9" s="17">
        <v>5.67517673899577E-2</v>
      </c>
    </row>
    <row r="10" spans="2:25" x14ac:dyDescent="0.35">
      <c r="B10" s="18" t="s">
        <v>86</v>
      </c>
      <c r="C10" s="17">
        <v>0.34577292299383999</v>
      </c>
      <c r="D10" s="17">
        <v>0.38482387883949398</v>
      </c>
      <c r="E10" s="17">
        <v>0.30987585839340198</v>
      </c>
      <c r="F10" s="17"/>
      <c r="G10" s="17">
        <v>0.375879806602329</v>
      </c>
      <c r="H10" s="17">
        <v>0.38136115165651002</v>
      </c>
      <c r="I10" s="17">
        <v>0.41070890673806199</v>
      </c>
      <c r="J10" s="17">
        <v>0.34610310840811698</v>
      </c>
      <c r="K10" s="17">
        <v>0.32289119154295998</v>
      </c>
      <c r="L10" s="17">
        <v>0.28668325302430497</v>
      </c>
      <c r="M10" s="17"/>
      <c r="N10" s="17">
        <v>0.446968323462619</v>
      </c>
      <c r="O10" s="17">
        <v>0.58597895526229404</v>
      </c>
      <c r="P10" s="17">
        <v>0.23972617042043901</v>
      </c>
      <c r="Q10" s="17">
        <v>0.37599909975879098</v>
      </c>
      <c r="R10" s="17">
        <v>0.40001204799823198</v>
      </c>
      <c r="S10" s="17">
        <v>0.36835781291414499</v>
      </c>
      <c r="T10" s="17">
        <v>0.23022439858638699</v>
      </c>
      <c r="U10" s="17">
        <v>0.37140485213984997</v>
      </c>
      <c r="V10" s="17">
        <v>0.39564156917168503</v>
      </c>
      <c r="W10" s="17"/>
      <c r="X10" s="17">
        <v>0.382916903313052</v>
      </c>
      <c r="Y10" s="17">
        <v>0.32521868764647699</v>
      </c>
    </row>
    <row r="11" spans="2:25" ht="29" x14ac:dyDescent="0.35">
      <c r="B11" s="18" t="s">
        <v>181</v>
      </c>
      <c r="C11" s="17">
        <v>0.311703507886886</v>
      </c>
      <c r="D11" s="17">
        <v>0.29432902346200202</v>
      </c>
      <c r="E11" s="17">
        <v>0.32780951830641403</v>
      </c>
      <c r="F11" s="17"/>
      <c r="G11" s="17">
        <v>0.25992210643788599</v>
      </c>
      <c r="H11" s="17">
        <v>0.29753747513474899</v>
      </c>
      <c r="I11" s="17">
        <v>0.31268214218486301</v>
      </c>
      <c r="J11" s="17">
        <v>0.32143136396254401</v>
      </c>
      <c r="K11" s="17">
        <v>0.32564063645615399</v>
      </c>
      <c r="L11" s="17">
        <v>0.32291090957075103</v>
      </c>
      <c r="M11" s="17"/>
      <c r="N11" s="17">
        <v>0.17614320867266001</v>
      </c>
      <c r="O11" s="17">
        <v>0.172171773788757</v>
      </c>
      <c r="P11" s="17">
        <v>0.33237416501211797</v>
      </c>
      <c r="Q11" s="17">
        <v>0.31822135763677001</v>
      </c>
      <c r="R11" s="17">
        <v>0.32602966890526902</v>
      </c>
      <c r="S11" s="17">
        <v>0.29070397123835301</v>
      </c>
      <c r="T11" s="17">
        <v>0.47245774051085998</v>
      </c>
      <c r="U11" s="17">
        <v>0.21060296090682401</v>
      </c>
      <c r="V11" s="17">
        <v>0.25171487050909103</v>
      </c>
      <c r="W11" s="17"/>
      <c r="X11" s="17">
        <v>0.28852427277723303</v>
      </c>
      <c r="Y11" s="17">
        <v>0.324530120692548</v>
      </c>
    </row>
    <row r="12" spans="2:25" x14ac:dyDescent="0.35">
      <c r="B12" s="18" t="s">
        <v>88</v>
      </c>
      <c r="C12" s="17">
        <v>0.178214700757233</v>
      </c>
      <c r="D12" s="17">
        <v>0.152244344666876</v>
      </c>
      <c r="E12" s="17">
        <v>0.20221364412550599</v>
      </c>
      <c r="F12" s="17"/>
      <c r="G12" s="17">
        <v>0.18349115383376599</v>
      </c>
      <c r="H12" s="17">
        <v>0.13088329689851799</v>
      </c>
      <c r="I12" s="17">
        <v>0.13412884500245101</v>
      </c>
      <c r="J12" s="17">
        <v>0.16621066162906201</v>
      </c>
      <c r="K12" s="17">
        <v>0.18673857441342601</v>
      </c>
      <c r="L12" s="17">
        <v>0.23514192697070299</v>
      </c>
      <c r="M12" s="17"/>
      <c r="N12" s="17">
        <v>0.172562569624477</v>
      </c>
      <c r="O12" s="17">
        <v>5.5573285731435003E-2</v>
      </c>
      <c r="P12" s="17">
        <v>0.232142358718162</v>
      </c>
      <c r="Q12" s="17">
        <v>0.15112457448876601</v>
      </c>
      <c r="R12" s="17">
        <v>0.157842461233269</v>
      </c>
      <c r="S12" s="17">
        <v>0.170598146965422</v>
      </c>
      <c r="T12" s="17">
        <v>0.153369506867614</v>
      </c>
      <c r="U12" s="17">
        <v>0.23141119118091699</v>
      </c>
      <c r="V12" s="17">
        <v>0.17401697252345599</v>
      </c>
      <c r="W12" s="17"/>
      <c r="X12" s="17">
        <v>0.164437290861951</v>
      </c>
      <c r="Y12" s="17">
        <v>0.18583865820689399</v>
      </c>
    </row>
    <row r="13" spans="2:25" x14ac:dyDescent="0.35">
      <c r="B13" s="18" t="s">
        <v>89</v>
      </c>
      <c r="C13" s="17">
        <v>7.2509757955220702E-2</v>
      </c>
      <c r="D13" s="17">
        <v>6.7022887154462599E-2</v>
      </c>
      <c r="E13" s="17">
        <v>7.7418060532644897E-2</v>
      </c>
      <c r="F13" s="17"/>
      <c r="G13" s="17">
        <v>4.6941703596347098E-2</v>
      </c>
      <c r="H13" s="17">
        <v>6.14632074558542E-2</v>
      </c>
      <c r="I13" s="17">
        <v>4.8063108833398198E-2</v>
      </c>
      <c r="J13" s="17">
        <v>7.55916553668214E-2</v>
      </c>
      <c r="K13" s="17">
        <v>8.5522534620410595E-2</v>
      </c>
      <c r="L13" s="17">
        <v>9.3574313463150399E-2</v>
      </c>
      <c r="M13" s="17"/>
      <c r="N13" s="17">
        <v>4.1298921980127599E-2</v>
      </c>
      <c r="O13" s="17">
        <v>1.17831344608865E-2</v>
      </c>
      <c r="P13" s="17">
        <v>0.118761900483341</v>
      </c>
      <c r="Q13" s="17">
        <v>5.7018784762405503E-2</v>
      </c>
      <c r="R13" s="17">
        <v>4.5751809300105403E-2</v>
      </c>
      <c r="S13" s="17">
        <v>6.6463729827335102E-2</v>
      </c>
      <c r="T13" s="17">
        <v>7.2315022654608499E-2</v>
      </c>
      <c r="U13" s="17">
        <v>9.3962792657754202E-2</v>
      </c>
      <c r="V13" s="17">
        <v>7.0839356658129501E-2</v>
      </c>
      <c r="W13" s="17"/>
      <c r="X13" s="17">
        <v>6.0542045072025499E-2</v>
      </c>
      <c r="Y13" s="17">
        <v>7.91322896563703E-2</v>
      </c>
    </row>
    <row r="14" spans="2:25" x14ac:dyDescent="0.35">
      <c r="B14" s="18" t="s">
        <v>80</v>
      </c>
      <c r="C14" s="17">
        <v>2.4403300592772102E-2</v>
      </c>
      <c r="D14" s="17">
        <v>1.8627792268108002E-2</v>
      </c>
      <c r="E14" s="17">
        <v>2.99380151922621E-2</v>
      </c>
      <c r="F14" s="17"/>
      <c r="G14" s="17">
        <v>1.6072639436666501E-2</v>
      </c>
      <c r="H14" s="17">
        <v>1.53767258936338E-2</v>
      </c>
      <c r="I14" s="17">
        <v>1.8336211016895899E-2</v>
      </c>
      <c r="J14" s="17">
        <v>3.5133845658212502E-2</v>
      </c>
      <c r="K14" s="17">
        <v>2.8566755380225701E-2</v>
      </c>
      <c r="L14" s="17">
        <v>2.66657030481968E-2</v>
      </c>
      <c r="M14" s="17"/>
      <c r="N14" s="17">
        <v>1.6657836778256399E-2</v>
      </c>
      <c r="O14" s="17">
        <v>2.4404436479176599E-2</v>
      </c>
      <c r="P14" s="17">
        <v>2.3152138385565998E-2</v>
      </c>
      <c r="Q14" s="17">
        <v>3.2235287866484101E-2</v>
      </c>
      <c r="R14" s="17">
        <v>2.04689065805061E-2</v>
      </c>
      <c r="S14" s="17">
        <v>2.5207811937271798E-2</v>
      </c>
      <c r="T14" s="17">
        <v>3.067675236652E-2</v>
      </c>
      <c r="U14" s="17">
        <v>1.75007955973333E-2</v>
      </c>
      <c r="V14" s="17">
        <v>2.1472509915764399E-2</v>
      </c>
      <c r="W14" s="17"/>
      <c r="X14" s="17">
        <v>1.69486107590015E-2</v>
      </c>
      <c r="Y14" s="17">
        <v>2.8528476407752398E-2</v>
      </c>
    </row>
    <row r="15" spans="2:25" x14ac:dyDescent="0.35">
      <c r="B15" s="18" t="s">
        <v>90</v>
      </c>
      <c r="C15" s="21">
        <v>0.41316873280788702</v>
      </c>
      <c r="D15" s="21">
        <v>0.46777595244855102</v>
      </c>
      <c r="E15" s="21">
        <v>0.36262076184317299</v>
      </c>
      <c r="F15" s="21"/>
      <c r="G15" s="21">
        <v>0.49357239669533398</v>
      </c>
      <c r="H15" s="21">
        <v>0.49473929461724397</v>
      </c>
      <c r="I15" s="21">
        <v>0.486789692962392</v>
      </c>
      <c r="J15" s="21">
        <v>0.40163247338336</v>
      </c>
      <c r="K15" s="21">
        <v>0.37353149912978401</v>
      </c>
      <c r="L15" s="21">
        <v>0.32170714694719899</v>
      </c>
      <c r="M15" s="21"/>
      <c r="N15" s="21">
        <v>0.59333746294447898</v>
      </c>
      <c r="O15" s="21">
        <v>0.73606736953974505</v>
      </c>
      <c r="P15" s="21">
        <v>0.29356943740081398</v>
      </c>
      <c r="Q15" s="21">
        <v>0.441399995245574</v>
      </c>
      <c r="R15" s="21">
        <v>0.44990715398085002</v>
      </c>
      <c r="S15" s="21">
        <v>0.44702634003161801</v>
      </c>
      <c r="T15" s="21">
        <v>0.271180977600398</v>
      </c>
      <c r="U15" s="21">
        <v>0.44652225965717102</v>
      </c>
      <c r="V15" s="21">
        <v>0.48195629039356003</v>
      </c>
      <c r="W15" s="21"/>
      <c r="X15" s="21">
        <v>0.46954778052978902</v>
      </c>
      <c r="Y15" s="21">
        <v>0.38197045503643401</v>
      </c>
    </row>
    <row r="16" spans="2:25" x14ac:dyDescent="0.35">
      <c r="B16" s="18" t="s">
        <v>91</v>
      </c>
      <c r="C16" s="21">
        <v>0.25072445871245402</v>
      </c>
      <c r="D16" s="21">
        <v>0.219267231821339</v>
      </c>
      <c r="E16" s="21">
        <v>0.27963170465815101</v>
      </c>
      <c r="F16" s="21"/>
      <c r="G16" s="21">
        <v>0.23043285743011299</v>
      </c>
      <c r="H16" s="21">
        <v>0.19234650435437201</v>
      </c>
      <c r="I16" s="21">
        <v>0.18219195383584899</v>
      </c>
      <c r="J16" s="21">
        <v>0.241802316995884</v>
      </c>
      <c r="K16" s="21">
        <v>0.27226110903383599</v>
      </c>
      <c r="L16" s="21">
        <v>0.328716240433853</v>
      </c>
      <c r="M16" s="21"/>
      <c r="N16" s="21">
        <v>0.21386149160460499</v>
      </c>
      <c r="O16" s="21">
        <v>6.7356420192321395E-2</v>
      </c>
      <c r="P16" s="21">
        <v>0.35090425920150298</v>
      </c>
      <c r="Q16" s="21">
        <v>0.208143359251171</v>
      </c>
      <c r="R16" s="21">
        <v>0.203594270533375</v>
      </c>
      <c r="S16" s="21">
        <v>0.237061876792757</v>
      </c>
      <c r="T16" s="21">
        <v>0.22568452952222301</v>
      </c>
      <c r="U16" s="21">
        <v>0.325373983838671</v>
      </c>
      <c r="V16" s="21">
        <v>0.24485632918158501</v>
      </c>
      <c r="W16" s="21"/>
      <c r="X16" s="21">
        <v>0.22497933593397601</v>
      </c>
      <c r="Y16" s="21">
        <v>0.26497094786326503</v>
      </c>
    </row>
    <row r="17" spans="2:25" x14ac:dyDescent="0.35">
      <c r="B17" s="18" t="s">
        <v>92</v>
      </c>
      <c r="C17" s="22">
        <v>0.16244427409543299</v>
      </c>
      <c r="D17" s="22">
        <v>0.24850872062721199</v>
      </c>
      <c r="E17" s="22">
        <v>8.2989057185022405E-2</v>
      </c>
      <c r="F17" s="22"/>
      <c r="G17" s="22">
        <v>0.26313953926522099</v>
      </c>
      <c r="H17" s="22">
        <v>0.30239279026287202</v>
      </c>
      <c r="I17" s="22">
        <v>0.30459773912654198</v>
      </c>
      <c r="J17" s="22">
        <v>0.159830156387476</v>
      </c>
      <c r="K17" s="22">
        <v>0.101270390095948</v>
      </c>
      <c r="L17" s="22">
        <v>-7.0090934866541303E-3</v>
      </c>
      <c r="M17" s="22"/>
      <c r="N17" s="22">
        <v>0.37947597133987399</v>
      </c>
      <c r="O17" s="22">
        <v>0.66871094934742303</v>
      </c>
      <c r="P17" s="22">
        <v>-5.7334821800688898E-2</v>
      </c>
      <c r="Q17" s="22">
        <v>0.23325663599440299</v>
      </c>
      <c r="R17" s="22">
        <v>0.24631288344747501</v>
      </c>
      <c r="S17" s="22">
        <v>0.209964463238861</v>
      </c>
      <c r="T17" s="22">
        <v>4.5496448078175003E-2</v>
      </c>
      <c r="U17" s="22">
        <v>0.1211482758185</v>
      </c>
      <c r="V17" s="22">
        <v>0.23709996121197499</v>
      </c>
      <c r="W17" s="22"/>
      <c r="X17" s="22">
        <v>0.24456844459581201</v>
      </c>
      <c r="Y17" s="22">
        <v>0.11699950717316999</v>
      </c>
    </row>
    <row r="18" spans="2:25" x14ac:dyDescent="0.35">
      <c r="B18" s="16"/>
    </row>
    <row r="19" spans="2:25" x14ac:dyDescent="0.35">
      <c r="B19" t="s">
        <v>51</v>
      </c>
    </row>
    <row r="20" spans="2:25" x14ac:dyDescent="0.35">
      <c r="B20" t="s">
        <v>52</v>
      </c>
    </row>
    <row r="22" spans="2:25" x14ac:dyDescent="0.35">
      <c r="B22" s="8" t="str">
        <f>HYPERLINK("#'Contents'!A1", "Return to Contents")</f>
        <v>Return to Contents</v>
      </c>
    </row>
  </sheetData>
  <mergeCells count="5">
    <mergeCell ref="D5:E5"/>
    <mergeCell ref="G5:L5"/>
    <mergeCell ref="N5:V5"/>
    <mergeCell ref="X5:Y5"/>
    <mergeCell ref="D2:W2"/>
  </mergeCells>
  <pageMargins left="0.7" right="0.7" top="0.75" bottom="0.75" header="0.3" footer="0.3"/>
  <pageSetup paperSize="9" orientation="portrait" horizontalDpi="300" verticalDpi="300"/>
  <drawing r:id="rId1"/>
</worksheet>
</file>

<file path=xl/worksheets/sheet1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000-000000000000}">
  <dimension ref="B2:G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7" width="20.7265625" customWidth="1"/>
  </cols>
  <sheetData>
    <row r="2" spans="2:7" ht="40" customHeight="1" x14ac:dyDescent="0.35">
      <c r="D2" s="30" t="s">
        <v>509</v>
      </c>
      <c r="E2" s="26"/>
      <c r="F2" s="26"/>
      <c r="G2" s="26"/>
    </row>
    <row r="6" spans="2:7" ht="50" customHeight="1" x14ac:dyDescent="0.35">
      <c r="B6" s="20" t="s">
        <v>15</v>
      </c>
      <c r="C6" s="20" t="s">
        <v>500</v>
      </c>
      <c r="D6" s="20" t="s">
        <v>501</v>
      </c>
      <c r="E6" s="20" t="s">
        <v>502</v>
      </c>
      <c r="F6" s="20" t="s">
        <v>503</v>
      </c>
    </row>
    <row r="7" spans="2:7" x14ac:dyDescent="0.35">
      <c r="B7" s="18" t="s">
        <v>504</v>
      </c>
      <c r="C7" s="17">
        <v>9.6733326451401702E-2</v>
      </c>
      <c r="D7" s="17">
        <v>6.1965580806642502E-2</v>
      </c>
      <c r="E7" s="17">
        <v>4.7215210215333203E-2</v>
      </c>
      <c r="F7" s="17">
        <v>3.01243537027229E-2</v>
      </c>
    </row>
    <row r="8" spans="2:7" x14ac:dyDescent="0.35">
      <c r="B8" s="18" t="s">
        <v>505</v>
      </c>
      <c r="C8" s="17">
        <v>0.27665975726973002</v>
      </c>
      <c r="D8" s="17">
        <v>0.26740427203017297</v>
      </c>
      <c r="E8" s="17">
        <v>0.21084680539709699</v>
      </c>
      <c r="F8" s="17">
        <v>0.151128349529705</v>
      </c>
    </row>
    <row r="9" spans="2:7" x14ac:dyDescent="0.35">
      <c r="B9" s="18" t="s">
        <v>506</v>
      </c>
      <c r="C9" s="17">
        <v>0.24638778326254401</v>
      </c>
      <c r="D9" s="17">
        <v>0.28205799979580398</v>
      </c>
      <c r="E9" s="17">
        <v>0.27122645682080998</v>
      </c>
      <c r="F9" s="17">
        <v>0.24191193739386199</v>
      </c>
    </row>
    <row r="10" spans="2:7" x14ac:dyDescent="0.35">
      <c r="B10" s="18" t="s">
        <v>507</v>
      </c>
      <c r="C10" s="17">
        <v>0.15493568836093399</v>
      </c>
      <c r="D10" s="17">
        <v>0.17918395166826401</v>
      </c>
      <c r="E10" s="17">
        <v>0.21851650606707099</v>
      </c>
      <c r="F10" s="17">
        <v>0.256432868598237</v>
      </c>
    </row>
    <row r="11" spans="2:7" x14ac:dyDescent="0.35">
      <c r="B11" s="18" t="s">
        <v>508</v>
      </c>
      <c r="C11" s="17">
        <v>0.13371638608349201</v>
      </c>
      <c r="D11" s="17">
        <v>0.107590480558631</v>
      </c>
      <c r="E11" s="17">
        <v>0.14786709796667999</v>
      </c>
      <c r="F11" s="17">
        <v>0.22107152996788601</v>
      </c>
    </row>
    <row r="12" spans="2:7" x14ac:dyDescent="0.35">
      <c r="B12" s="18" t="s">
        <v>80</v>
      </c>
      <c r="C12" s="17">
        <v>9.1567058571898396E-2</v>
      </c>
      <c r="D12" s="17">
        <v>0.101797715140485</v>
      </c>
      <c r="E12" s="17">
        <v>0.104327923533009</v>
      </c>
      <c r="F12" s="17">
        <v>9.9330960807585897E-2</v>
      </c>
    </row>
    <row r="13" spans="2:7" x14ac:dyDescent="0.35">
      <c r="B13" s="16"/>
      <c r="C13" s="16"/>
      <c r="D13" s="16"/>
      <c r="E13" s="16"/>
      <c r="F13" s="16"/>
    </row>
    <row r="14" spans="2:7" x14ac:dyDescent="0.35">
      <c r="B14" t="s">
        <v>51</v>
      </c>
    </row>
    <row r="15" spans="2:7" x14ac:dyDescent="0.35">
      <c r="B15" t="s">
        <v>52</v>
      </c>
    </row>
    <row r="19" spans="2:2" x14ac:dyDescent="0.35">
      <c r="B19" s="8" t="str">
        <f>HYPERLINK("#'Contents'!A1", "Return to Contents")</f>
        <v>Return to Contents</v>
      </c>
    </row>
  </sheetData>
  <mergeCells count="1">
    <mergeCell ref="D2:G2"/>
  </mergeCells>
  <pageMargins left="0.7" right="0.7" top="0.75" bottom="0.75" header="0.3" footer="0.3"/>
  <pageSetup paperSize="9" orientation="portrait" horizontalDpi="300" verticalDpi="300"/>
  <drawing r:id="rId1"/>
</worksheet>
</file>

<file path=xl/worksheets/sheet1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100-000000000000}">
  <dimension ref="B2:Y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s>
  <sheetData>
    <row r="2" spans="2:25" ht="40" customHeight="1" x14ac:dyDescent="0.35">
      <c r="D2" s="30" t="s">
        <v>510</v>
      </c>
      <c r="E2" s="26"/>
      <c r="F2" s="26"/>
      <c r="G2" s="26"/>
      <c r="H2" s="26"/>
      <c r="I2" s="26"/>
      <c r="J2" s="26"/>
      <c r="K2" s="26"/>
      <c r="L2" s="26"/>
      <c r="M2" s="26"/>
      <c r="N2" s="26"/>
      <c r="O2" s="26"/>
      <c r="P2" s="26"/>
      <c r="Q2" s="26"/>
      <c r="R2" s="26"/>
      <c r="S2" s="26"/>
      <c r="T2" s="26"/>
      <c r="U2" s="26"/>
      <c r="V2" s="26"/>
      <c r="W2" s="26"/>
    </row>
    <row r="5" spans="2:25" ht="30" customHeight="1" x14ac:dyDescent="0.35">
      <c r="B5" s="15"/>
      <c r="C5" s="15"/>
      <c r="D5" s="29" t="s">
        <v>38</v>
      </c>
      <c r="E5" s="29"/>
      <c r="F5" s="15"/>
      <c r="G5" s="29" t="s">
        <v>39</v>
      </c>
      <c r="H5" s="29"/>
      <c r="I5" s="29"/>
      <c r="J5" s="29"/>
      <c r="K5" s="29"/>
      <c r="L5" s="29"/>
      <c r="M5" s="15"/>
      <c r="N5" s="29" t="s">
        <v>40</v>
      </c>
      <c r="O5" s="29"/>
      <c r="P5" s="29"/>
      <c r="Q5" s="29"/>
      <c r="R5" s="29"/>
      <c r="S5" s="29"/>
      <c r="T5" s="29"/>
      <c r="U5" s="29"/>
      <c r="V5" s="29"/>
      <c r="W5" s="15"/>
      <c r="X5" s="29" t="s">
        <v>41</v>
      </c>
      <c r="Y5" s="29"/>
    </row>
    <row r="6" spans="2:25" ht="29"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row>
    <row r="7" spans="2:25" ht="30" customHeight="1" x14ac:dyDescent="0.35">
      <c r="B7" s="10" t="s">
        <v>19</v>
      </c>
      <c r="C7" s="10">
        <v>6838</v>
      </c>
      <c r="D7" s="10">
        <v>3283</v>
      </c>
      <c r="E7" s="10">
        <v>3541</v>
      </c>
      <c r="F7" s="10"/>
      <c r="G7" s="10">
        <v>635</v>
      </c>
      <c r="H7" s="10">
        <v>1075</v>
      </c>
      <c r="I7" s="10">
        <v>1093</v>
      </c>
      <c r="J7" s="10">
        <v>1228</v>
      </c>
      <c r="K7" s="10">
        <v>1156</v>
      </c>
      <c r="L7" s="10">
        <v>1651</v>
      </c>
      <c r="M7" s="10"/>
      <c r="N7" s="10">
        <v>208</v>
      </c>
      <c r="O7" s="10">
        <v>200</v>
      </c>
      <c r="P7" s="10">
        <v>1002</v>
      </c>
      <c r="Q7" s="10">
        <v>1000</v>
      </c>
      <c r="R7" s="10">
        <v>1004</v>
      </c>
      <c r="S7" s="10">
        <v>1006</v>
      </c>
      <c r="T7" s="10">
        <v>1006</v>
      </c>
      <c r="U7" s="10">
        <v>1007</v>
      </c>
      <c r="V7" s="10">
        <v>405</v>
      </c>
      <c r="W7" s="10"/>
      <c r="X7" s="10">
        <v>2650</v>
      </c>
      <c r="Y7" s="10">
        <v>4188</v>
      </c>
    </row>
    <row r="8" spans="2:25" ht="30" customHeight="1" x14ac:dyDescent="0.35">
      <c r="B8" s="11" t="s">
        <v>20</v>
      </c>
      <c r="C8" s="11">
        <v>6838</v>
      </c>
      <c r="D8" s="11">
        <v>3309</v>
      </c>
      <c r="E8" s="11">
        <v>3515</v>
      </c>
      <c r="F8" s="11"/>
      <c r="G8" s="11">
        <v>645</v>
      </c>
      <c r="H8" s="11">
        <v>1026</v>
      </c>
      <c r="I8" s="11">
        <v>1111</v>
      </c>
      <c r="J8" s="11">
        <v>1184</v>
      </c>
      <c r="K8" s="11">
        <v>1140</v>
      </c>
      <c r="L8" s="11">
        <v>1732</v>
      </c>
      <c r="M8" s="11"/>
      <c r="N8" s="11">
        <v>208</v>
      </c>
      <c r="O8" s="11">
        <v>200</v>
      </c>
      <c r="P8" s="11">
        <v>1002</v>
      </c>
      <c r="Q8" s="11">
        <v>1000</v>
      </c>
      <c r="R8" s="11">
        <v>1004</v>
      </c>
      <c r="S8" s="11">
        <v>1006</v>
      </c>
      <c r="T8" s="11">
        <v>1006</v>
      </c>
      <c r="U8" s="11">
        <v>1007</v>
      </c>
      <c r="V8" s="11">
        <v>405</v>
      </c>
      <c r="W8" s="11"/>
      <c r="X8" s="11">
        <v>2436</v>
      </c>
      <c r="Y8" s="11">
        <v>4402</v>
      </c>
    </row>
    <row r="9" spans="2:25" x14ac:dyDescent="0.35">
      <c r="B9" s="18" t="s">
        <v>504</v>
      </c>
      <c r="C9" s="17">
        <v>9.6733326451401702E-2</v>
      </c>
      <c r="D9" s="17">
        <v>0.11844689037129701</v>
      </c>
      <c r="E9" s="17">
        <v>7.6679234247499603E-2</v>
      </c>
      <c r="F9" s="17"/>
      <c r="G9" s="17">
        <v>0.14552537087409301</v>
      </c>
      <c r="H9" s="17">
        <v>0.113661350410344</v>
      </c>
      <c r="I9" s="17">
        <v>0.122003568445014</v>
      </c>
      <c r="J9" s="17">
        <v>7.9999270534226397E-2</v>
      </c>
      <c r="K9" s="17">
        <v>8.6631674336942299E-2</v>
      </c>
      <c r="L9" s="17">
        <v>7.0429028699201396E-2</v>
      </c>
      <c r="M9" s="17"/>
      <c r="N9" s="17">
        <v>0.19000308063538701</v>
      </c>
      <c r="O9" s="17">
        <v>0.23108765871893799</v>
      </c>
      <c r="P9" s="17">
        <v>0.128008985742256</v>
      </c>
      <c r="Q9" s="17">
        <v>8.3548730810828406E-2</v>
      </c>
      <c r="R9" s="17">
        <v>7.7106022878281694E-2</v>
      </c>
      <c r="S9" s="17">
        <v>9.6639986094119501E-2</v>
      </c>
      <c r="T9" s="17">
        <v>4.0930826006823198E-2</v>
      </c>
      <c r="U9" s="17">
        <v>8.86500818905996E-2</v>
      </c>
      <c r="V9" s="17">
        <v>0.14525743907899</v>
      </c>
      <c r="W9" s="17"/>
      <c r="X9" s="17">
        <v>0.13050221500400599</v>
      </c>
      <c r="Y9" s="17">
        <v>7.8046753909522495E-2</v>
      </c>
    </row>
    <row r="10" spans="2:25" x14ac:dyDescent="0.35">
      <c r="B10" s="18" t="s">
        <v>505</v>
      </c>
      <c r="C10" s="17">
        <v>0.27665975726973002</v>
      </c>
      <c r="D10" s="17">
        <v>0.301349778311435</v>
      </c>
      <c r="E10" s="17">
        <v>0.25338160365518803</v>
      </c>
      <c r="F10" s="17"/>
      <c r="G10" s="17">
        <v>0.31426516746664801</v>
      </c>
      <c r="H10" s="17">
        <v>0.285811896143641</v>
      </c>
      <c r="I10" s="17">
        <v>0.28804037057494503</v>
      </c>
      <c r="J10" s="17">
        <v>0.29726953464903599</v>
      </c>
      <c r="K10" s="17">
        <v>0.25349838321938001</v>
      </c>
      <c r="L10" s="17">
        <v>0.25110856856302799</v>
      </c>
      <c r="M10" s="17"/>
      <c r="N10" s="17">
        <v>0.41810534188916598</v>
      </c>
      <c r="O10" s="17">
        <v>0.44174178418891402</v>
      </c>
      <c r="P10" s="17">
        <v>0.27896287856715302</v>
      </c>
      <c r="Q10" s="17">
        <v>0.24490458454654301</v>
      </c>
      <c r="R10" s="17">
        <v>0.32884546108256502</v>
      </c>
      <c r="S10" s="17">
        <v>0.27736836814767502</v>
      </c>
      <c r="T10" s="17">
        <v>0.17980887111657901</v>
      </c>
      <c r="U10" s="17">
        <v>0.28423476818663101</v>
      </c>
      <c r="V10" s="17">
        <v>0.28581285481033403</v>
      </c>
      <c r="W10" s="17"/>
      <c r="X10" s="17">
        <v>0.32229484959099802</v>
      </c>
      <c r="Y10" s="17">
        <v>0.251406824772757</v>
      </c>
    </row>
    <row r="11" spans="2:25" x14ac:dyDescent="0.35">
      <c r="B11" s="18" t="s">
        <v>506</v>
      </c>
      <c r="C11" s="17">
        <v>0.24638778326254401</v>
      </c>
      <c r="D11" s="17">
        <v>0.24154110186814001</v>
      </c>
      <c r="E11" s="17">
        <v>0.25106807967622702</v>
      </c>
      <c r="F11" s="17"/>
      <c r="G11" s="17">
        <v>0.24156541231789899</v>
      </c>
      <c r="H11" s="17">
        <v>0.27568843699998402</v>
      </c>
      <c r="I11" s="17">
        <v>0.25959818537697998</v>
      </c>
      <c r="J11" s="17">
        <v>0.23391190736522099</v>
      </c>
      <c r="K11" s="17">
        <v>0.23237536137008499</v>
      </c>
      <c r="L11" s="17">
        <v>0.24011164233395699</v>
      </c>
      <c r="M11" s="17"/>
      <c r="N11" s="17">
        <v>0.153916328538235</v>
      </c>
      <c r="O11" s="17">
        <v>0.225054132043146</v>
      </c>
      <c r="P11" s="17">
        <v>0.196677579891406</v>
      </c>
      <c r="Q11" s="17">
        <v>0.27019977414198798</v>
      </c>
      <c r="R11" s="17">
        <v>0.217143780572609</v>
      </c>
      <c r="S11" s="17">
        <v>0.27322376380549601</v>
      </c>
      <c r="T11" s="17">
        <v>0.31580500357036001</v>
      </c>
      <c r="U11" s="17">
        <v>0.22174113972062801</v>
      </c>
      <c r="V11" s="17">
        <v>0.26329606577243098</v>
      </c>
      <c r="W11" s="17"/>
      <c r="X11" s="17">
        <v>0.2394754239671</v>
      </c>
      <c r="Y11" s="17">
        <v>0.25021285151164102</v>
      </c>
    </row>
    <row r="12" spans="2:25" x14ac:dyDescent="0.35">
      <c r="B12" s="18" t="s">
        <v>507</v>
      </c>
      <c r="C12" s="17">
        <v>0.15493568836093399</v>
      </c>
      <c r="D12" s="17">
        <v>0.153488296201717</v>
      </c>
      <c r="E12" s="17">
        <v>0.15626553723998299</v>
      </c>
      <c r="F12" s="17"/>
      <c r="G12" s="17">
        <v>0.163471324855542</v>
      </c>
      <c r="H12" s="17">
        <v>0.14063618975738801</v>
      </c>
      <c r="I12" s="17">
        <v>0.14214003416712301</v>
      </c>
      <c r="J12" s="17">
        <v>0.14738760676572099</v>
      </c>
      <c r="K12" s="17">
        <v>0.17774153278531099</v>
      </c>
      <c r="L12" s="17">
        <v>0.158578798912341</v>
      </c>
      <c r="M12" s="17"/>
      <c r="N12" s="17">
        <v>9.0450521528569097E-2</v>
      </c>
      <c r="O12" s="17">
        <v>4.8016513077415099E-2</v>
      </c>
      <c r="P12" s="17">
        <v>0.145322506726944</v>
      </c>
      <c r="Q12" s="17">
        <v>0.17049253811711501</v>
      </c>
      <c r="R12" s="17">
        <v>0.20133379856320699</v>
      </c>
      <c r="S12" s="17">
        <v>0.12397593593826101</v>
      </c>
      <c r="T12" s="17">
        <v>0.18429779645396099</v>
      </c>
      <c r="U12" s="17">
        <v>0.16053644353025301</v>
      </c>
      <c r="V12" s="17">
        <v>0.101246491066979</v>
      </c>
      <c r="W12" s="17"/>
      <c r="X12" s="17">
        <v>0.14755247171021199</v>
      </c>
      <c r="Y12" s="17">
        <v>0.159021313308915</v>
      </c>
    </row>
    <row r="13" spans="2:25" x14ac:dyDescent="0.35">
      <c r="B13" s="18" t="s">
        <v>508</v>
      </c>
      <c r="C13" s="17">
        <v>0.13371638608349201</v>
      </c>
      <c r="D13" s="17">
        <v>0.134353763378872</v>
      </c>
      <c r="E13" s="17">
        <v>0.132588852653405</v>
      </c>
      <c r="F13" s="17"/>
      <c r="G13" s="17">
        <v>7.7526552031909404E-2</v>
      </c>
      <c r="H13" s="17">
        <v>0.12575064355322399</v>
      </c>
      <c r="I13" s="17">
        <v>0.119062639657578</v>
      </c>
      <c r="J13" s="17">
        <v>0.133360946194441</v>
      </c>
      <c r="K13" s="17">
        <v>0.14076204176000801</v>
      </c>
      <c r="L13" s="17">
        <v>0.164347836733235</v>
      </c>
      <c r="M13" s="17"/>
      <c r="N13" s="17">
        <v>6.5513681301644894E-2</v>
      </c>
      <c r="O13" s="17">
        <v>2.0978421774712801E-2</v>
      </c>
      <c r="P13" s="17">
        <v>0.178235684546381</v>
      </c>
      <c r="Q13" s="17">
        <v>0.135928327988704</v>
      </c>
      <c r="R13" s="17">
        <v>0.101087947092766</v>
      </c>
      <c r="S13" s="17">
        <v>9.5232859301842804E-2</v>
      </c>
      <c r="T13" s="17">
        <v>0.14032637251813099</v>
      </c>
      <c r="U13" s="17">
        <v>0.19873681955884701</v>
      </c>
      <c r="V13" s="17">
        <v>0.107201902916697</v>
      </c>
      <c r="W13" s="17"/>
      <c r="X13" s="17">
        <v>0.10725660784008099</v>
      </c>
      <c r="Y13" s="17">
        <v>0.148358341646148</v>
      </c>
    </row>
    <row r="14" spans="2:25" x14ac:dyDescent="0.35">
      <c r="B14" s="18" t="s">
        <v>80</v>
      </c>
      <c r="C14" s="19">
        <v>9.1567058571898396E-2</v>
      </c>
      <c r="D14" s="19">
        <v>5.0820169868539898E-2</v>
      </c>
      <c r="E14" s="19">
        <v>0.13001669252769901</v>
      </c>
      <c r="F14" s="19"/>
      <c r="G14" s="19">
        <v>5.7646172453908399E-2</v>
      </c>
      <c r="H14" s="19">
        <v>5.8451483135419001E-2</v>
      </c>
      <c r="I14" s="19">
        <v>6.9155201778360501E-2</v>
      </c>
      <c r="J14" s="19">
        <v>0.108070734491354</v>
      </c>
      <c r="K14" s="19">
        <v>0.108991006528273</v>
      </c>
      <c r="L14" s="19">
        <v>0.115424124758237</v>
      </c>
      <c r="M14" s="19"/>
      <c r="N14" s="19">
        <v>8.2011046106997401E-2</v>
      </c>
      <c r="O14" s="19">
        <v>3.3121490196873597E-2</v>
      </c>
      <c r="P14" s="19">
        <v>7.2792364525859299E-2</v>
      </c>
      <c r="Q14" s="19">
        <v>9.4926044394821496E-2</v>
      </c>
      <c r="R14" s="19">
        <v>7.4482989810571498E-2</v>
      </c>
      <c r="S14" s="19">
        <v>0.133559086712606</v>
      </c>
      <c r="T14" s="19">
        <v>0.13883113033414601</v>
      </c>
      <c r="U14" s="19">
        <v>4.6100747113041199E-2</v>
      </c>
      <c r="V14" s="19">
        <v>9.7185246354568905E-2</v>
      </c>
      <c r="W14" s="19"/>
      <c r="X14" s="19">
        <v>5.2918431887602702E-2</v>
      </c>
      <c r="Y14" s="19">
        <v>0.112953914851017</v>
      </c>
    </row>
    <row r="15" spans="2:25" x14ac:dyDescent="0.35">
      <c r="B15" s="16"/>
    </row>
    <row r="16" spans="2:25" x14ac:dyDescent="0.35">
      <c r="B16" t="s">
        <v>51</v>
      </c>
    </row>
    <row r="17" spans="2:2" x14ac:dyDescent="0.35">
      <c r="B17" t="s">
        <v>52</v>
      </c>
    </row>
    <row r="19" spans="2:2" x14ac:dyDescent="0.35">
      <c r="B19" s="8" t="str">
        <f>HYPERLINK("#'Contents'!A1", "Return to Contents")</f>
        <v>Return to Contents</v>
      </c>
    </row>
  </sheetData>
  <mergeCells count="5">
    <mergeCell ref="D5:E5"/>
    <mergeCell ref="G5:L5"/>
    <mergeCell ref="N5:V5"/>
    <mergeCell ref="X5:Y5"/>
    <mergeCell ref="D2:W2"/>
  </mergeCells>
  <pageMargins left="0.7" right="0.7" top="0.75" bottom="0.75" header="0.3" footer="0.3"/>
  <pageSetup paperSize="9" orientation="portrait" horizontalDpi="300" verticalDpi="300"/>
  <drawing r:id="rId1"/>
</worksheet>
</file>

<file path=xl/worksheets/sheet1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200-000000000000}">
  <dimension ref="B2:Y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s>
  <sheetData>
    <row r="2" spans="2:25" ht="40" customHeight="1" x14ac:dyDescent="0.35">
      <c r="D2" s="30" t="s">
        <v>511</v>
      </c>
      <c r="E2" s="26"/>
      <c r="F2" s="26"/>
      <c r="G2" s="26"/>
      <c r="H2" s="26"/>
      <c r="I2" s="26"/>
      <c r="J2" s="26"/>
      <c r="K2" s="26"/>
      <c r="L2" s="26"/>
      <c r="M2" s="26"/>
      <c r="N2" s="26"/>
      <c r="O2" s="26"/>
      <c r="P2" s="26"/>
      <c r="Q2" s="26"/>
      <c r="R2" s="26"/>
      <c r="S2" s="26"/>
      <c r="T2" s="26"/>
      <c r="U2" s="26"/>
      <c r="V2" s="26"/>
      <c r="W2" s="26"/>
    </row>
    <row r="5" spans="2:25" ht="30" customHeight="1" x14ac:dyDescent="0.35">
      <c r="B5" s="15"/>
      <c r="C5" s="15"/>
      <c r="D5" s="29" t="s">
        <v>38</v>
      </c>
      <c r="E5" s="29"/>
      <c r="F5" s="15"/>
      <c r="G5" s="29" t="s">
        <v>39</v>
      </c>
      <c r="H5" s="29"/>
      <c r="I5" s="29"/>
      <c r="J5" s="29"/>
      <c r="K5" s="29"/>
      <c r="L5" s="29"/>
      <c r="M5" s="15"/>
      <c r="N5" s="29" t="s">
        <v>40</v>
      </c>
      <c r="O5" s="29"/>
      <c r="P5" s="29"/>
      <c r="Q5" s="29"/>
      <c r="R5" s="29"/>
      <c r="S5" s="29"/>
      <c r="T5" s="29"/>
      <c r="U5" s="29"/>
      <c r="V5" s="29"/>
      <c r="W5" s="15"/>
      <c r="X5" s="29" t="s">
        <v>41</v>
      </c>
      <c r="Y5" s="29"/>
    </row>
    <row r="6" spans="2:25" ht="29"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row>
    <row r="7" spans="2:25" ht="30" customHeight="1" x14ac:dyDescent="0.35">
      <c r="B7" s="10" t="s">
        <v>19</v>
      </c>
      <c r="C7" s="10">
        <v>6838</v>
      </c>
      <c r="D7" s="10">
        <v>3283</v>
      </c>
      <c r="E7" s="10">
        <v>3541</v>
      </c>
      <c r="F7" s="10"/>
      <c r="G7" s="10">
        <v>635</v>
      </c>
      <c r="H7" s="10">
        <v>1075</v>
      </c>
      <c r="I7" s="10">
        <v>1093</v>
      </c>
      <c r="J7" s="10">
        <v>1228</v>
      </c>
      <c r="K7" s="10">
        <v>1156</v>
      </c>
      <c r="L7" s="10">
        <v>1651</v>
      </c>
      <c r="M7" s="10"/>
      <c r="N7" s="10">
        <v>208</v>
      </c>
      <c r="O7" s="10">
        <v>200</v>
      </c>
      <c r="P7" s="10">
        <v>1002</v>
      </c>
      <c r="Q7" s="10">
        <v>1000</v>
      </c>
      <c r="R7" s="10">
        <v>1004</v>
      </c>
      <c r="S7" s="10">
        <v>1006</v>
      </c>
      <c r="T7" s="10">
        <v>1006</v>
      </c>
      <c r="U7" s="10">
        <v>1007</v>
      </c>
      <c r="V7" s="10">
        <v>405</v>
      </c>
      <c r="W7" s="10"/>
      <c r="X7" s="10">
        <v>2650</v>
      </c>
      <c r="Y7" s="10">
        <v>4188</v>
      </c>
    </row>
    <row r="8" spans="2:25" ht="30" customHeight="1" x14ac:dyDescent="0.35">
      <c r="B8" s="11" t="s">
        <v>20</v>
      </c>
      <c r="C8" s="11">
        <v>6838</v>
      </c>
      <c r="D8" s="11">
        <v>3309</v>
      </c>
      <c r="E8" s="11">
        <v>3515</v>
      </c>
      <c r="F8" s="11"/>
      <c r="G8" s="11">
        <v>645</v>
      </c>
      <c r="H8" s="11">
        <v>1026</v>
      </c>
      <c r="I8" s="11">
        <v>1111</v>
      </c>
      <c r="J8" s="11">
        <v>1184</v>
      </c>
      <c r="K8" s="11">
        <v>1140</v>
      </c>
      <c r="L8" s="11">
        <v>1732</v>
      </c>
      <c r="M8" s="11"/>
      <c r="N8" s="11">
        <v>208</v>
      </c>
      <c r="O8" s="11">
        <v>200</v>
      </c>
      <c r="P8" s="11">
        <v>1002</v>
      </c>
      <c r="Q8" s="11">
        <v>1000</v>
      </c>
      <c r="R8" s="11">
        <v>1004</v>
      </c>
      <c r="S8" s="11">
        <v>1006</v>
      </c>
      <c r="T8" s="11">
        <v>1006</v>
      </c>
      <c r="U8" s="11">
        <v>1007</v>
      </c>
      <c r="V8" s="11">
        <v>405</v>
      </c>
      <c r="W8" s="11"/>
      <c r="X8" s="11">
        <v>2436</v>
      </c>
      <c r="Y8" s="11">
        <v>4402</v>
      </c>
    </row>
    <row r="9" spans="2:25" x14ac:dyDescent="0.35">
      <c r="B9" s="18" t="s">
        <v>504</v>
      </c>
      <c r="C9" s="17">
        <v>6.1965580806642502E-2</v>
      </c>
      <c r="D9" s="17">
        <v>8.2421339716655301E-2</v>
      </c>
      <c r="E9" s="17">
        <v>4.2956466954342999E-2</v>
      </c>
      <c r="F9" s="17"/>
      <c r="G9" s="17">
        <v>0.120099336994335</v>
      </c>
      <c r="H9" s="17">
        <v>8.9850696111194395E-2</v>
      </c>
      <c r="I9" s="17">
        <v>7.9902588218683498E-2</v>
      </c>
      <c r="J9" s="17">
        <v>5.1695607000050499E-2</v>
      </c>
      <c r="K9" s="17">
        <v>4.1730294562745997E-2</v>
      </c>
      <c r="L9" s="17">
        <v>3.2655215784013501E-2</v>
      </c>
      <c r="M9" s="17"/>
      <c r="N9" s="17">
        <v>0.103633022950491</v>
      </c>
      <c r="O9" s="17">
        <v>0.131058617892718</v>
      </c>
      <c r="P9" s="17">
        <v>6.1843061562977399E-2</v>
      </c>
      <c r="Q9" s="17">
        <v>5.8956778825635998E-2</v>
      </c>
      <c r="R9" s="17">
        <v>5.1443512395979302E-2</v>
      </c>
      <c r="S9" s="17">
        <v>5.4291716447564399E-2</v>
      </c>
      <c r="T9" s="17">
        <v>3.45747464305899E-2</v>
      </c>
      <c r="U9" s="17">
        <v>7.0019426569594603E-2</v>
      </c>
      <c r="V9" s="17">
        <v>0.10733632601300699</v>
      </c>
      <c r="W9" s="17"/>
      <c r="X9" s="17">
        <v>8.5192937989231499E-2</v>
      </c>
      <c r="Y9" s="17">
        <v>4.9112338856660602E-2</v>
      </c>
    </row>
    <row r="10" spans="2:25" x14ac:dyDescent="0.35">
      <c r="B10" s="18" t="s">
        <v>505</v>
      </c>
      <c r="C10" s="17">
        <v>0.26740427203017297</v>
      </c>
      <c r="D10" s="17">
        <v>0.301641387974319</v>
      </c>
      <c r="E10" s="17">
        <v>0.23477689150366399</v>
      </c>
      <c r="F10" s="17"/>
      <c r="G10" s="17">
        <v>0.29434014416468701</v>
      </c>
      <c r="H10" s="17">
        <v>0.31428927707381199</v>
      </c>
      <c r="I10" s="17">
        <v>0.31561803841389402</v>
      </c>
      <c r="J10" s="17">
        <v>0.27543028103598099</v>
      </c>
      <c r="K10" s="17">
        <v>0.23441770427686501</v>
      </c>
      <c r="L10" s="17">
        <v>0.21492593921115</v>
      </c>
      <c r="M10" s="17"/>
      <c r="N10" s="17">
        <v>0.30627528554866601</v>
      </c>
      <c r="O10" s="17">
        <v>0.43020354521509502</v>
      </c>
      <c r="P10" s="17">
        <v>0.26007353101022601</v>
      </c>
      <c r="Q10" s="17">
        <v>0.27782023479022799</v>
      </c>
      <c r="R10" s="17">
        <v>0.28859448919564201</v>
      </c>
      <c r="S10" s="17">
        <v>0.25864614005895598</v>
      </c>
      <c r="T10" s="17">
        <v>0.18057988815499801</v>
      </c>
      <c r="U10" s="17">
        <v>0.27820196610450698</v>
      </c>
      <c r="V10" s="17">
        <v>0.31750839367852601</v>
      </c>
      <c r="W10" s="17"/>
      <c r="X10" s="17">
        <v>0.31417468839475698</v>
      </c>
      <c r="Y10" s="17">
        <v>0.241523089211578</v>
      </c>
    </row>
    <row r="11" spans="2:25" x14ac:dyDescent="0.35">
      <c r="B11" s="18" t="s">
        <v>506</v>
      </c>
      <c r="C11" s="17">
        <v>0.28205799979580398</v>
      </c>
      <c r="D11" s="17">
        <v>0.28132986835135998</v>
      </c>
      <c r="E11" s="17">
        <v>0.28387209309160699</v>
      </c>
      <c r="F11" s="17"/>
      <c r="G11" s="17">
        <v>0.29317246683169101</v>
      </c>
      <c r="H11" s="17">
        <v>0.30206402505067897</v>
      </c>
      <c r="I11" s="17">
        <v>0.298172909912441</v>
      </c>
      <c r="J11" s="17">
        <v>0.27375516688032803</v>
      </c>
      <c r="K11" s="17">
        <v>0.27045346482786098</v>
      </c>
      <c r="L11" s="17">
        <v>0.26905363026984103</v>
      </c>
      <c r="M11" s="17"/>
      <c r="N11" s="17">
        <v>0.25616648923643198</v>
      </c>
      <c r="O11" s="17">
        <v>0.28853516526717099</v>
      </c>
      <c r="P11" s="17">
        <v>0.22591995875110801</v>
      </c>
      <c r="Q11" s="17">
        <v>0.29057629606248803</v>
      </c>
      <c r="R11" s="17">
        <v>0.22442073542515201</v>
      </c>
      <c r="S11" s="17">
        <v>0.29236452811596397</v>
      </c>
      <c r="T11" s="17">
        <v>0.40821920051184202</v>
      </c>
      <c r="U11" s="17">
        <v>0.25678748359903603</v>
      </c>
      <c r="V11" s="17">
        <v>0.27675111038850803</v>
      </c>
      <c r="W11" s="17"/>
      <c r="X11" s="17">
        <v>0.28733134679446398</v>
      </c>
      <c r="Y11" s="17">
        <v>0.279139906087288</v>
      </c>
    </row>
    <row r="12" spans="2:25" x14ac:dyDescent="0.35">
      <c r="B12" s="18" t="s">
        <v>507</v>
      </c>
      <c r="C12" s="17">
        <v>0.17918395166826401</v>
      </c>
      <c r="D12" s="17">
        <v>0.17264389666412799</v>
      </c>
      <c r="E12" s="17">
        <v>0.18512307037971601</v>
      </c>
      <c r="F12" s="17"/>
      <c r="G12" s="17">
        <v>0.14969579190424301</v>
      </c>
      <c r="H12" s="17">
        <v>0.15824309112820301</v>
      </c>
      <c r="I12" s="17">
        <v>0.151563806005659</v>
      </c>
      <c r="J12" s="17">
        <v>0.17216257086603101</v>
      </c>
      <c r="K12" s="17">
        <v>0.19932723819706799</v>
      </c>
      <c r="L12" s="17">
        <v>0.21181091739861399</v>
      </c>
      <c r="M12" s="17"/>
      <c r="N12" s="17">
        <v>0.16773835304378601</v>
      </c>
      <c r="O12" s="17">
        <v>6.6693245223292105E-2</v>
      </c>
      <c r="P12" s="17">
        <v>0.18719729408583</v>
      </c>
      <c r="Q12" s="17">
        <v>0.17817665829826501</v>
      </c>
      <c r="R12" s="17">
        <v>0.27003964228940303</v>
      </c>
      <c r="S12" s="17">
        <v>0.15259499665916801</v>
      </c>
      <c r="T12" s="17">
        <v>0.15190657138018701</v>
      </c>
      <c r="U12" s="17">
        <v>0.190932151553629</v>
      </c>
      <c r="V12" s="17">
        <v>0.102632674412099</v>
      </c>
      <c r="W12" s="17"/>
      <c r="X12" s="17">
        <v>0.16504464010962999</v>
      </c>
      <c r="Y12" s="17">
        <v>0.18700817338409201</v>
      </c>
    </row>
    <row r="13" spans="2:25" x14ac:dyDescent="0.35">
      <c r="B13" s="18" t="s">
        <v>508</v>
      </c>
      <c r="C13" s="17">
        <v>0.107590480558631</v>
      </c>
      <c r="D13" s="17">
        <v>0.100202174521556</v>
      </c>
      <c r="E13" s="17">
        <v>0.11365206300080299</v>
      </c>
      <c r="F13" s="17"/>
      <c r="G13" s="17">
        <v>6.9695654301205404E-2</v>
      </c>
      <c r="H13" s="17">
        <v>7.3379820560670703E-2</v>
      </c>
      <c r="I13" s="17">
        <v>8.1552379042480902E-2</v>
      </c>
      <c r="J13" s="17">
        <v>0.111601760221582</v>
      </c>
      <c r="K13" s="17">
        <v>0.13364620465739899</v>
      </c>
      <c r="L13" s="17">
        <v>0.13875583715831999</v>
      </c>
      <c r="M13" s="17"/>
      <c r="N13" s="17">
        <v>7.9173593901613507E-2</v>
      </c>
      <c r="O13" s="17">
        <v>3.6757628321956899E-2</v>
      </c>
      <c r="P13" s="17">
        <v>0.18264125579360599</v>
      </c>
      <c r="Q13" s="17">
        <v>9.4060243888635597E-2</v>
      </c>
      <c r="R13" s="17">
        <v>8.5413715436422399E-2</v>
      </c>
      <c r="S13" s="17">
        <v>8.9972409159272904E-2</v>
      </c>
      <c r="T13" s="17">
        <v>6.6915497905335103E-2</v>
      </c>
      <c r="U13" s="17">
        <v>0.15710881342196301</v>
      </c>
      <c r="V13" s="17">
        <v>8.1541014195265799E-2</v>
      </c>
      <c r="W13" s="17"/>
      <c r="X13" s="17">
        <v>8.6530153926873798E-2</v>
      </c>
      <c r="Y13" s="17">
        <v>0.119244560341179</v>
      </c>
    </row>
    <row r="14" spans="2:25" x14ac:dyDescent="0.35">
      <c r="B14" s="18" t="s">
        <v>80</v>
      </c>
      <c r="C14" s="19">
        <v>0.101797715140485</v>
      </c>
      <c r="D14" s="19">
        <v>6.1761332771981398E-2</v>
      </c>
      <c r="E14" s="19">
        <v>0.139619415069867</v>
      </c>
      <c r="F14" s="19"/>
      <c r="G14" s="19">
        <v>7.2996605803838793E-2</v>
      </c>
      <c r="H14" s="19">
        <v>6.2173090075439801E-2</v>
      </c>
      <c r="I14" s="19">
        <v>7.3190278406841502E-2</v>
      </c>
      <c r="J14" s="19">
        <v>0.11535461399602701</v>
      </c>
      <c r="K14" s="19">
        <v>0.12042509347806001</v>
      </c>
      <c r="L14" s="19">
        <v>0.13279846017806199</v>
      </c>
      <c r="M14" s="19"/>
      <c r="N14" s="19">
        <v>8.7013255319012398E-2</v>
      </c>
      <c r="O14" s="19">
        <v>4.6751798079767398E-2</v>
      </c>
      <c r="P14" s="19">
        <v>8.2324898796251503E-2</v>
      </c>
      <c r="Q14" s="19">
        <v>0.10040978813474701</v>
      </c>
      <c r="R14" s="19">
        <v>8.0087905257400602E-2</v>
      </c>
      <c r="S14" s="19">
        <v>0.152130209559075</v>
      </c>
      <c r="T14" s="19">
        <v>0.157804095617047</v>
      </c>
      <c r="U14" s="19">
        <v>4.6950158751270302E-2</v>
      </c>
      <c r="V14" s="19">
        <v>0.114230481312594</v>
      </c>
      <c r="W14" s="19"/>
      <c r="X14" s="19">
        <v>6.1726232785044202E-2</v>
      </c>
      <c r="Y14" s="19">
        <v>0.123971932119203</v>
      </c>
    </row>
    <row r="15" spans="2:25" x14ac:dyDescent="0.35">
      <c r="B15" s="16"/>
    </row>
    <row r="16" spans="2:25" x14ac:dyDescent="0.35">
      <c r="B16" t="s">
        <v>51</v>
      </c>
    </row>
    <row r="17" spans="2:2" x14ac:dyDescent="0.35">
      <c r="B17" t="s">
        <v>52</v>
      </c>
    </row>
    <row r="19" spans="2:2" x14ac:dyDescent="0.35">
      <c r="B19" s="8" t="str">
        <f>HYPERLINK("#'Contents'!A1", "Return to Contents")</f>
        <v>Return to Contents</v>
      </c>
    </row>
  </sheetData>
  <mergeCells count="5">
    <mergeCell ref="D5:E5"/>
    <mergeCell ref="G5:L5"/>
    <mergeCell ref="N5:V5"/>
    <mergeCell ref="X5:Y5"/>
    <mergeCell ref="D2:W2"/>
  </mergeCells>
  <pageMargins left="0.7" right="0.7" top="0.75" bottom="0.75" header="0.3" footer="0.3"/>
  <pageSetup paperSize="9" orientation="portrait" horizontalDpi="300" verticalDpi="300"/>
  <drawing r:id="rId1"/>
</worksheet>
</file>

<file path=xl/worksheets/sheet1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300-000000000000}">
  <dimension ref="B2:Y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s>
  <sheetData>
    <row r="2" spans="2:25" ht="40" customHeight="1" x14ac:dyDescent="0.35">
      <c r="D2" s="30" t="s">
        <v>512</v>
      </c>
      <c r="E2" s="26"/>
      <c r="F2" s="26"/>
      <c r="G2" s="26"/>
      <c r="H2" s="26"/>
      <c r="I2" s="26"/>
      <c r="J2" s="26"/>
      <c r="K2" s="26"/>
      <c r="L2" s="26"/>
      <c r="M2" s="26"/>
      <c r="N2" s="26"/>
      <c r="O2" s="26"/>
      <c r="P2" s="26"/>
      <c r="Q2" s="26"/>
      <c r="R2" s="26"/>
      <c r="S2" s="26"/>
      <c r="T2" s="26"/>
      <c r="U2" s="26"/>
      <c r="V2" s="26"/>
      <c r="W2" s="26"/>
    </row>
    <row r="5" spans="2:25" ht="30" customHeight="1" x14ac:dyDescent="0.35">
      <c r="B5" s="15"/>
      <c r="C5" s="15"/>
      <c r="D5" s="29" t="s">
        <v>38</v>
      </c>
      <c r="E5" s="29"/>
      <c r="F5" s="15"/>
      <c r="G5" s="29" t="s">
        <v>39</v>
      </c>
      <c r="H5" s="29"/>
      <c r="I5" s="29"/>
      <c r="J5" s="29"/>
      <c r="K5" s="29"/>
      <c r="L5" s="29"/>
      <c r="M5" s="15"/>
      <c r="N5" s="29" t="s">
        <v>40</v>
      </c>
      <c r="O5" s="29"/>
      <c r="P5" s="29"/>
      <c r="Q5" s="29"/>
      <c r="R5" s="29"/>
      <c r="S5" s="29"/>
      <c r="T5" s="29"/>
      <c r="U5" s="29"/>
      <c r="V5" s="29"/>
      <c r="W5" s="15"/>
      <c r="X5" s="29" t="s">
        <v>41</v>
      </c>
      <c r="Y5" s="29"/>
    </row>
    <row r="6" spans="2:25" ht="29"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row>
    <row r="7" spans="2:25" ht="30" customHeight="1" x14ac:dyDescent="0.35">
      <c r="B7" s="10" t="s">
        <v>19</v>
      </c>
      <c r="C7" s="10">
        <v>6838</v>
      </c>
      <c r="D7" s="10">
        <v>3283</v>
      </c>
      <c r="E7" s="10">
        <v>3541</v>
      </c>
      <c r="F7" s="10"/>
      <c r="G7" s="10">
        <v>635</v>
      </c>
      <c r="H7" s="10">
        <v>1075</v>
      </c>
      <c r="I7" s="10">
        <v>1093</v>
      </c>
      <c r="J7" s="10">
        <v>1228</v>
      </c>
      <c r="K7" s="10">
        <v>1156</v>
      </c>
      <c r="L7" s="10">
        <v>1651</v>
      </c>
      <c r="M7" s="10"/>
      <c r="N7" s="10">
        <v>208</v>
      </c>
      <c r="O7" s="10">
        <v>200</v>
      </c>
      <c r="P7" s="10">
        <v>1002</v>
      </c>
      <c r="Q7" s="10">
        <v>1000</v>
      </c>
      <c r="R7" s="10">
        <v>1004</v>
      </c>
      <c r="S7" s="10">
        <v>1006</v>
      </c>
      <c r="T7" s="10">
        <v>1006</v>
      </c>
      <c r="U7" s="10">
        <v>1007</v>
      </c>
      <c r="V7" s="10">
        <v>405</v>
      </c>
      <c r="W7" s="10"/>
      <c r="X7" s="10">
        <v>2650</v>
      </c>
      <c r="Y7" s="10">
        <v>4188</v>
      </c>
    </row>
    <row r="8" spans="2:25" ht="30" customHeight="1" x14ac:dyDescent="0.35">
      <c r="B8" s="11" t="s">
        <v>20</v>
      </c>
      <c r="C8" s="11">
        <v>6838</v>
      </c>
      <c r="D8" s="11">
        <v>3309</v>
      </c>
      <c r="E8" s="11">
        <v>3515</v>
      </c>
      <c r="F8" s="11"/>
      <c r="G8" s="11">
        <v>645</v>
      </c>
      <c r="H8" s="11">
        <v>1026</v>
      </c>
      <c r="I8" s="11">
        <v>1111</v>
      </c>
      <c r="J8" s="11">
        <v>1184</v>
      </c>
      <c r="K8" s="11">
        <v>1140</v>
      </c>
      <c r="L8" s="11">
        <v>1732</v>
      </c>
      <c r="M8" s="11"/>
      <c r="N8" s="11">
        <v>208</v>
      </c>
      <c r="O8" s="11">
        <v>200</v>
      </c>
      <c r="P8" s="11">
        <v>1002</v>
      </c>
      <c r="Q8" s="11">
        <v>1000</v>
      </c>
      <c r="R8" s="11">
        <v>1004</v>
      </c>
      <c r="S8" s="11">
        <v>1006</v>
      </c>
      <c r="T8" s="11">
        <v>1006</v>
      </c>
      <c r="U8" s="11">
        <v>1007</v>
      </c>
      <c r="V8" s="11">
        <v>405</v>
      </c>
      <c r="W8" s="11"/>
      <c r="X8" s="11">
        <v>2436</v>
      </c>
      <c r="Y8" s="11">
        <v>4402</v>
      </c>
    </row>
    <row r="9" spans="2:25" x14ac:dyDescent="0.35">
      <c r="B9" s="18" t="s">
        <v>504</v>
      </c>
      <c r="C9" s="17">
        <v>4.7215210215333203E-2</v>
      </c>
      <c r="D9" s="17">
        <v>6.7796896413379507E-2</v>
      </c>
      <c r="E9" s="17">
        <v>2.80285260473285E-2</v>
      </c>
      <c r="F9" s="17"/>
      <c r="G9" s="17">
        <v>9.0100409277424506E-2</v>
      </c>
      <c r="H9" s="17">
        <v>7.5712900143843298E-2</v>
      </c>
      <c r="I9" s="17">
        <v>6.5781625344183595E-2</v>
      </c>
      <c r="J9" s="17">
        <v>3.8941437789822703E-2</v>
      </c>
      <c r="K9" s="17">
        <v>2.8639034570294201E-2</v>
      </c>
      <c r="L9" s="17">
        <v>2.0357014690096702E-2</v>
      </c>
      <c r="M9" s="17"/>
      <c r="N9" s="17">
        <v>8.9044548635271295E-2</v>
      </c>
      <c r="O9" s="17">
        <v>5.7445088819481398E-2</v>
      </c>
      <c r="P9" s="17">
        <v>5.26277502525423E-2</v>
      </c>
      <c r="Q9" s="17">
        <v>5.1552116737326403E-2</v>
      </c>
      <c r="R9" s="17">
        <v>3.7493039326189199E-2</v>
      </c>
      <c r="S9" s="17">
        <v>4.00644485437247E-2</v>
      </c>
      <c r="T9" s="17">
        <v>2.7279696539163699E-2</v>
      </c>
      <c r="U9" s="17">
        <v>6.3839851924866103E-2</v>
      </c>
      <c r="V9" s="17">
        <v>4.6627774708201897E-2</v>
      </c>
      <c r="W9" s="17"/>
      <c r="X9" s="17">
        <v>6.76174192832973E-2</v>
      </c>
      <c r="Y9" s="17">
        <v>3.5925310662695997E-2</v>
      </c>
    </row>
    <row r="10" spans="2:25" x14ac:dyDescent="0.35">
      <c r="B10" s="18" t="s">
        <v>505</v>
      </c>
      <c r="C10" s="17">
        <v>0.21084680539709699</v>
      </c>
      <c r="D10" s="17">
        <v>0.23604735160273599</v>
      </c>
      <c r="E10" s="17">
        <v>0.18737636055864901</v>
      </c>
      <c r="F10" s="17"/>
      <c r="G10" s="17">
        <v>0.297783848933315</v>
      </c>
      <c r="H10" s="17">
        <v>0.26790212647980699</v>
      </c>
      <c r="I10" s="17">
        <v>0.27006323814406702</v>
      </c>
      <c r="J10" s="17">
        <v>0.20085352940038501</v>
      </c>
      <c r="K10" s="17">
        <v>0.16274426592710001</v>
      </c>
      <c r="L10" s="17">
        <v>0.145223953950774</v>
      </c>
      <c r="M10" s="17"/>
      <c r="N10" s="17">
        <v>0.26552442826053702</v>
      </c>
      <c r="O10" s="17">
        <v>0.396458986688486</v>
      </c>
      <c r="P10" s="17">
        <v>0.199909661830969</v>
      </c>
      <c r="Q10" s="17">
        <v>0.17153432202566499</v>
      </c>
      <c r="R10" s="17">
        <v>0.232056198638174</v>
      </c>
      <c r="S10" s="17">
        <v>0.186842131658043</v>
      </c>
      <c r="T10" s="17">
        <v>0.17193472346727401</v>
      </c>
      <c r="U10" s="17">
        <v>0.24863758935452601</v>
      </c>
      <c r="V10" s="17">
        <v>0.22497230009966601</v>
      </c>
      <c r="W10" s="17"/>
      <c r="X10" s="17">
        <v>0.24882662861438801</v>
      </c>
      <c r="Y10" s="17">
        <v>0.189830042569026</v>
      </c>
    </row>
    <row r="11" spans="2:25" x14ac:dyDescent="0.35">
      <c r="B11" s="18" t="s">
        <v>506</v>
      </c>
      <c r="C11" s="17">
        <v>0.27122645682080998</v>
      </c>
      <c r="D11" s="17">
        <v>0.28140522438764898</v>
      </c>
      <c r="E11" s="17">
        <v>0.26215752779394103</v>
      </c>
      <c r="F11" s="17"/>
      <c r="G11" s="17">
        <v>0.27644803907335902</v>
      </c>
      <c r="H11" s="17">
        <v>0.30621049708579301</v>
      </c>
      <c r="I11" s="17">
        <v>0.28785029733151701</v>
      </c>
      <c r="J11" s="17">
        <v>0.26691837769983301</v>
      </c>
      <c r="K11" s="17">
        <v>0.26259416214981801</v>
      </c>
      <c r="L11" s="17">
        <v>0.24653569292983199</v>
      </c>
      <c r="M11" s="17"/>
      <c r="N11" s="17">
        <v>0.22300598687298401</v>
      </c>
      <c r="O11" s="17">
        <v>0.32750046299327801</v>
      </c>
      <c r="P11" s="17">
        <v>0.221916774664246</v>
      </c>
      <c r="Q11" s="17">
        <v>0.29748420432591799</v>
      </c>
      <c r="R11" s="17">
        <v>0.22178692054757701</v>
      </c>
      <c r="S11" s="17">
        <v>0.279727423529672</v>
      </c>
      <c r="T11" s="17">
        <v>0.36574176928924801</v>
      </c>
      <c r="U11" s="17">
        <v>0.24392952211121</v>
      </c>
      <c r="V11" s="17">
        <v>0.25990927496636801</v>
      </c>
      <c r="W11" s="17"/>
      <c r="X11" s="17">
        <v>0.27418826820107101</v>
      </c>
      <c r="Y11" s="17">
        <v>0.26958748954694201</v>
      </c>
    </row>
    <row r="12" spans="2:25" x14ac:dyDescent="0.35">
      <c r="B12" s="18" t="s">
        <v>507</v>
      </c>
      <c r="C12" s="17">
        <v>0.21851650606707099</v>
      </c>
      <c r="D12" s="17">
        <v>0.21389810223525099</v>
      </c>
      <c r="E12" s="17">
        <v>0.22278166662483101</v>
      </c>
      <c r="F12" s="17"/>
      <c r="G12" s="17">
        <v>0.18730860672309499</v>
      </c>
      <c r="H12" s="17">
        <v>0.180464011739322</v>
      </c>
      <c r="I12" s="17">
        <v>0.18659216137099599</v>
      </c>
      <c r="J12" s="17">
        <v>0.20893360128824601</v>
      </c>
      <c r="K12" s="17">
        <v>0.244744395654969</v>
      </c>
      <c r="L12" s="17">
        <v>0.262419648811962</v>
      </c>
      <c r="M12" s="17"/>
      <c r="N12" s="17">
        <v>0.224663134511497</v>
      </c>
      <c r="O12" s="17">
        <v>9.4737784996237195E-2</v>
      </c>
      <c r="P12" s="17">
        <v>0.20408717547618099</v>
      </c>
      <c r="Q12" s="17">
        <v>0.23889829352008499</v>
      </c>
      <c r="R12" s="17">
        <v>0.30944459064205998</v>
      </c>
      <c r="S12" s="17">
        <v>0.19318011854470901</v>
      </c>
      <c r="T12" s="17">
        <v>0.19739919466499001</v>
      </c>
      <c r="U12" s="17">
        <v>0.21047063083481801</v>
      </c>
      <c r="V12" s="17">
        <v>0.17184111806796501</v>
      </c>
      <c r="W12" s="17"/>
      <c r="X12" s="17">
        <v>0.21108621159896701</v>
      </c>
      <c r="Y12" s="17">
        <v>0.222628182303304</v>
      </c>
    </row>
    <row r="13" spans="2:25" x14ac:dyDescent="0.35">
      <c r="B13" s="18" t="s">
        <v>508</v>
      </c>
      <c r="C13" s="17">
        <v>0.14786709796667999</v>
      </c>
      <c r="D13" s="17">
        <v>0.14019936267014799</v>
      </c>
      <c r="E13" s="17">
        <v>0.15407090531214401</v>
      </c>
      <c r="F13" s="17"/>
      <c r="G13" s="17">
        <v>7.37047807966624E-2</v>
      </c>
      <c r="H13" s="17">
        <v>0.1064946289744</v>
      </c>
      <c r="I13" s="17">
        <v>0.110558389753226</v>
      </c>
      <c r="J13" s="17">
        <v>0.16498165087126099</v>
      </c>
      <c r="K13" s="17">
        <v>0.17188345229469701</v>
      </c>
      <c r="L13" s="17">
        <v>0.196386771956224</v>
      </c>
      <c r="M13" s="17"/>
      <c r="N13" s="17">
        <v>0.10332361219590699</v>
      </c>
      <c r="O13" s="17">
        <v>5.3101109775283102E-2</v>
      </c>
      <c r="P13" s="17">
        <v>0.24466160303697301</v>
      </c>
      <c r="Q13" s="17">
        <v>0.14334047163132399</v>
      </c>
      <c r="R13" s="17">
        <v>0.110585189156776</v>
      </c>
      <c r="S13" s="17">
        <v>0.14482934139371501</v>
      </c>
      <c r="T13" s="17">
        <v>7.9804777556900505E-2</v>
      </c>
      <c r="U13" s="17">
        <v>0.17941020220929299</v>
      </c>
      <c r="V13" s="17">
        <v>0.179843845746918</v>
      </c>
      <c r="W13" s="17"/>
      <c r="X13" s="17">
        <v>0.131104604780443</v>
      </c>
      <c r="Y13" s="17">
        <v>0.15714290058658101</v>
      </c>
    </row>
    <row r="14" spans="2:25" x14ac:dyDescent="0.35">
      <c r="B14" s="18" t="s">
        <v>80</v>
      </c>
      <c r="C14" s="19">
        <v>0.104327923533009</v>
      </c>
      <c r="D14" s="19">
        <v>6.0653062690836097E-2</v>
      </c>
      <c r="E14" s="19">
        <v>0.145585013663106</v>
      </c>
      <c r="F14" s="19"/>
      <c r="G14" s="19">
        <v>7.4654315196143906E-2</v>
      </c>
      <c r="H14" s="19">
        <v>6.3215835576835994E-2</v>
      </c>
      <c r="I14" s="19">
        <v>7.9154288056010005E-2</v>
      </c>
      <c r="J14" s="19">
        <v>0.119371402950452</v>
      </c>
      <c r="K14" s="19">
        <v>0.12939468940312199</v>
      </c>
      <c r="L14" s="19">
        <v>0.12907691766111101</v>
      </c>
      <c r="M14" s="19"/>
      <c r="N14" s="19">
        <v>9.4438289523803301E-2</v>
      </c>
      <c r="O14" s="19">
        <v>7.0756566727234405E-2</v>
      </c>
      <c r="P14" s="19">
        <v>7.6797034739087999E-2</v>
      </c>
      <c r="Q14" s="19">
        <v>9.7190591759681894E-2</v>
      </c>
      <c r="R14" s="19">
        <v>8.8634061689223997E-2</v>
      </c>
      <c r="S14" s="19">
        <v>0.15535653633013699</v>
      </c>
      <c r="T14" s="19">
        <v>0.157839838482424</v>
      </c>
      <c r="U14" s="19">
        <v>5.3712203565287497E-2</v>
      </c>
      <c r="V14" s="19">
        <v>0.11680568641088</v>
      </c>
      <c r="W14" s="19"/>
      <c r="X14" s="19">
        <v>6.7176867521833494E-2</v>
      </c>
      <c r="Y14" s="19">
        <v>0.124886074331452</v>
      </c>
    </row>
    <row r="15" spans="2:25" x14ac:dyDescent="0.35">
      <c r="B15" s="16"/>
    </row>
    <row r="16" spans="2:25" x14ac:dyDescent="0.35">
      <c r="B16" t="s">
        <v>51</v>
      </c>
    </row>
    <row r="17" spans="2:2" x14ac:dyDescent="0.35">
      <c r="B17" t="s">
        <v>52</v>
      </c>
    </row>
    <row r="19" spans="2:2" x14ac:dyDescent="0.35">
      <c r="B19" s="8" t="str">
        <f>HYPERLINK("#'Contents'!A1", "Return to Contents")</f>
        <v>Return to Contents</v>
      </c>
    </row>
  </sheetData>
  <mergeCells count="5">
    <mergeCell ref="D5:E5"/>
    <mergeCell ref="G5:L5"/>
    <mergeCell ref="N5:V5"/>
    <mergeCell ref="X5:Y5"/>
    <mergeCell ref="D2:W2"/>
  </mergeCells>
  <pageMargins left="0.7" right="0.7" top="0.75" bottom="0.75" header="0.3" footer="0.3"/>
  <pageSetup paperSize="9" orientation="portrait" horizontalDpi="300" verticalDpi="300"/>
  <drawing r:id="rId1"/>
</worksheet>
</file>

<file path=xl/worksheets/sheet1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400-000000000000}">
  <dimension ref="B2:Y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s>
  <sheetData>
    <row r="2" spans="2:25" ht="40" customHeight="1" x14ac:dyDescent="0.35">
      <c r="D2" s="30" t="s">
        <v>513</v>
      </c>
      <c r="E2" s="26"/>
      <c r="F2" s="26"/>
      <c r="G2" s="26"/>
      <c r="H2" s="26"/>
      <c r="I2" s="26"/>
      <c r="J2" s="26"/>
      <c r="K2" s="26"/>
      <c r="L2" s="26"/>
      <c r="M2" s="26"/>
      <c r="N2" s="26"/>
      <c r="O2" s="26"/>
      <c r="P2" s="26"/>
      <c r="Q2" s="26"/>
      <c r="R2" s="26"/>
      <c r="S2" s="26"/>
      <c r="T2" s="26"/>
      <c r="U2" s="26"/>
      <c r="V2" s="26"/>
      <c r="W2" s="26"/>
    </row>
    <row r="5" spans="2:25" ht="30" customHeight="1" x14ac:dyDescent="0.35">
      <c r="B5" s="15"/>
      <c r="C5" s="15"/>
      <c r="D5" s="29" t="s">
        <v>38</v>
      </c>
      <c r="E5" s="29"/>
      <c r="F5" s="15"/>
      <c r="G5" s="29" t="s">
        <v>39</v>
      </c>
      <c r="H5" s="29"/>
      <c r="I5" s="29"/>
      <c r="J5" s="29"/>
      <c r="K5" s="29"/>
      <c r="L5" s="29"/>
      <c r="M5" s="15"/>
      <c r="N5" s="29" t="s">
        <v>40</v>
      </c>
      <c r="O5" s="29"/>
      <c r="P5" s="29"/>
      <c r="Q5" s="29"/>
      <c r="R5" s="29"/>
      <c r="S5" s="29"/>
      <c r="T5" s="29"/>
      <c r="U5" s="29"/>
      <c r="V5" s="29"/>
      <c r="W5" s="15"/>
      <c r="X5" s="29" t="s">
        <v>41</v>
      </c>
      <c r="Y5" s="29"/>
    </row>
    <row r="6" spans="2:25" ht="29"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row>
    <row r="7" spans="2:25" ht="30" customHeight="1" x14ac:dyDescent="0.35">
      <c r="B7" s="10" t="s">
        <v>19</v>
      </c>
      <c r="C7" s="10">
        <v>6838</v>
      </c>
      <c r="D7" s="10">
        <v>3283</v>
      </c>
      <c r="E7" s="10">
        <v>3541</v>
      </c>
      <c r="F7" s="10"/>
      <c r="G7" s="10">
        <v>635</v>
      </c>
      <c r="H7" s="10">
        <v>1075</v>
      </c>
      <c r="I7" s="10">
        <v>1093</v>
      </c>
      <c r="J7" s="10">
        <v>1228</v>
      </c>
      <c r="K7" s="10">
        <v>1156</v>
      </c>
      <c r="L7" s="10">
        <v>1651</v>
      </c>
      <c r="M7" s="10"/>
      <c r="N7" s="10">
        <v>208</v>
      </c>
      <c r="O7" s="10">
        <v>200</v>
      </c>
      <c r="P7" s="10">
        <v>1002</v>
      </c>
      <c r="Q7" s="10">
        <v>1000</v>
      </c>
      <c r="R7" s="10">
        <v>1004</v>
      </c>
      <c r="S7" s="10">
        <v>1006</v>
      </c>
      <c r="T7" s="10">
        <v>1006</v>
      </c>
      <c r="U7" s="10">
        <v>1007</v>
      </c>
      <c r="V7" s="10">
        <v>405</v>
      </c>
      <c r="W7" s="10"/>
      <c r="X7" s="10">
        <v>2650</v>
      </c>
      <c r="Y7" s="10">
        <v>4188</v>
      </c>
    </row>
    <row r="8" spans="2:25" ht="30" customHeight="1" x14ac:dyDescent="0.35">
      <c r="B8" s="11" t="s">
        <v>20</v>
      </c>
      <c r="C8" s="11">
        <v>6838</v>
      </c>
      <c r="D8" s="11">
        <v>3309</v>
      </c>
      <c r="E8" s="11">
        <v>3515</v>
      </c>
      <c r="F8" s="11"/>
      <c r="G8" s="11">
        <v>645</v>
      </c>
      <c r="H8" s="11">
        <v>1026</v>
      </c>
      <c r="I8" s="11">
        <v>1111</v>
      </c>
      <c r="J8" s="11">
        <v>1184</v>
      </c>
      <c r="K8" s="11">
        <v>1140</v>
      </c>
      <c r="L8" s="11">
        <v>1732</v>
      </c>
      <c r="M8" s="11"/>
      <c r="N8" s="11">
        <v>208</v>
      </c>
      <c r="O8" s="11">
        <v>200</v>
      </c>
      <c r="P8" s="11">
        <v>1002</v>
      </c>
      <c r="Q8" s="11">
        <v>1000</v>
      </c>
      <c r="R8" s="11">
        <v>1004</v>
      </c>
      <c r="S8" s="11">
        <v>1006</v>
      </c>
      <c r="T8" s="11">
        <v>1006</v>
      </c>
      <c r="U8" s="11">
        <v>1007</v>
      </c>
      <c r="V8" s="11">
        <v>405</v>
      </c>
      <c r="W8" s="11"/>
      <c r="X8" s="11">
        <v>2436</v>
      </c>
      <c r="Y8" s="11">
        <v>4402</v>
      </c>
    </row>
    <row r="9" spans="2:25" x14ac:dyDescent="0.35">
      <c r="B9" s="18" t="s">
        <v>504</v>
      </c>
      <c r="C9" s="17">
        <v>3.01243537027229E-2</v>
      </c>
      <c r="D9" s="17">
        <v>4.2981583448722702E-2</v>
      </c>
      <c r="E9" s="17">
        <v>1.8141089892057399E-2</v>
      </c>
      <c r="F9" s="17"/>
      <c r="G9" s="17">
        <v>4.9915607919768998E-2</v>
      </c>
      <c r="H9" s="17">
        <v>6.5387303289438398E-2</v>
      </c>
      <c r="I9" s="17">
        <v>4.2477373502961699E-2</v>
      </c>
      <c r="J9" s="17">
        <v>2.4103954910124101E-2</v>
      </c>
      <c r="K9" s="17">
        <v>1.4178845305913099E-2</v>
      </c>
      <c r="L9" s="17">
        <v>8.56976446442787E-3</v>
      </c>
      <c r="M9" s="17"/>
      <c r="N9" s="17">
        <v>5.1592136887597402E-2</v>
      </c>
      <c r="O9" s="17">
        <v>2.50854382355085E-2</v>
      </c>
      <c r="P9" s="17">
        <v>3.0501801532584499E-2</v>
      </c>
      <c r="Q9" s="17">
        <v>2.8374873449902999E-2</v>
      </c>
      <c r="R9" s="17">
        <v>2.4797984847859899E-2</v>
      </c>
      <c r="S9" s="17">
        <v>2.5347764730351201E-2</v>
      </c>
      <c r="T9" s="17">
        <v>1.55238257628142E-2</v>
      </c>
      <c r="U9" s="17">
        <v>4.2630821534473298E-2</v>
      </c>
      <c r="V9" s="17">
        <v>5.52127550749483E-2</v>
      </c>
      <c r="W9" s="17"/>
      <c r="X9" s="17">
        <v>4.1055046718903497E-2</v>
      </c>
      <c r="Y9" s="17">
        <v>2.4075674082672999E-2</v>
      </c>
    </row>
    <row r="10" spans="2:25" x14ac:dyDescent="0.35">
      <c r="B10" s="18" t="s">
        <v>505</v>
      </c>
      <c r="C10" s="17">
        <v>0.151128349529705</v>
      </c>
      <c r="D10" s="17">
        <v>0.17723651989666001</v>
      </c>
      <c r="E10" s="17">
        <v>0.12656450869323099</v>
      </c>
      <c r="F10" s="17"/>
      <c r="G10" s="17">
        <v>0.23389157817112999</v>
      </c>
      <c r="H10" s="17">
        <v>0.193120781286967</v>
      </c>
      <c r="I10" s="17">
        <v>0.218264827537267</v>
      </c>
      <c r="J10" s="17">
        <v>0.14568590311187701</v>
      </c>
      <c r="K10" s="17">
        <v>0.105493405894103</v>
      </c>
      <c r="L10" s="17">
        <v>8.6161415629773003E-2</v>
      </c>
      <c r="M10" s="17"/>
      <c r="N10" s="17">
        <v>0.18002099483695999</v>
      </c>
      <c r="O10" s="17">
        <v>0.25369773017314201</v>
      </c>
      <c r="P10" s="17">
        <v>0.12867730897893701</v>
      </c>
      <c r="Q10" s="17">
        <v>0.119414014215158</v>
      </c>
      <c r="R10" s="17">
        <v>0.16523174949904301</v>
      </c>
      <c r="S10" s="17">
        <v>0.12574593751105401</v>
      </c>
      <c r="T10" s="17">
        <v>0.147261878997896</v>
      </c>
      <c r="U10" s="17">
        <v>0.197887664793819</v>
      </c>
      <c r="V10" s="17">
        <v>0.14091764187391101</v>
      </c>
      <c r="W10" s="17"/>
      <c r="X10" s="17">
        <v>0.18348262382752001</v>
      </c>
      <c r="Y10" s="17">
        <v>0.13322457716348801</v>
      </c>
    </row>
    <row r="11" spans="2:25" x14ac:dyDescent="0.35">
      <c r="B11" s="18" t="s">
        <v>506</v>
      </c>
      <c r="C11" s="17">
        <v>0.24191193739386199</v>
      </c>
      <c r="D11" s="17">
        <v>0.26253265141176002</v>
      </c>
      <c r="E11" s="17">
        <v>0.223467573996212</v>
      </c>
      <c r="F11" s="17"/>
      <c r="G11" s="17">
        <v>0.27877043100905302</v>
      </c>
      <c r="H11" s="17">
        <v>0.29318598473082402</v>
      </c>
      <c r="I11" s="17">
        <v>0.27484848508870602</v>
      </c>
      <c r="J11" s="17">
        <v>0.240048724010928</v>
      </c>
      <c r="K11" s="17">
        <v>0.23362848429359301</v>
      </c>
      <c r="L11" s="17">
        <v>0.18344001956092501</v>
      </c>
      <c r="M11" s="17"/>
      <c r="N11" s="17">
        <v>0.185377283513569</v>
      </c>
      <c r="O11" s="17">
        <v>0.35718188010947499</v>
      </c>
      <c r="P11" s="17">
        <v>0.18610618935489801</v>
      </c>
      <c r="Q11" s="17">
        <v>0.23888665466282999</v>
      </c>
      <c r="R11" s="17">
        <v>0.18291008815191601</v>
      </c>
      <c r="S11" s="17">
        <v>0.25352018195797599</v>
      </c>
      <c r="T11" s="17">
        <v>0.35897021949538799</v>
      </c>
      <c r="U11" s="17">
        <v>0.212933183347458</v>
      </c>
      <c r="V11" s="17">
        <v>0.25827933953723298</v>
      </c>
      <c r="W11" s="17"/>
      <c r="X11" s="17">
        <v>0.26076862540038198</v>
      </c>
      <c r="Y11" s="17">
        <v>0.23147727746170299</v>
      </c>
    </row>
    <row r="12" spans="2:25" x14ac:dyDescent="0.35">
      <c r="B12" s="18" t="s">
        <v>507</v>
      </c>
      <c r="C12" s="17">
        <v>0.256432868598237</v>
      </c>
      <c r="D12" s="17">
        <v>0.25498416794671402</v>
      </c>
      <c r="E12" s="17">
        <v>0.257850818630672</v>
      </c>
      <c r="F12" s="17"/>
      <c r="G12" s="17">
        <v>0.21578345852397399</v>
      </c>
      <c r="H12" s="17">
        <v>0.23679756937635399</v>
      </c>
      <c r="I12" s="17">
        <v>0.23089299086454401</v>
      </c>
      <c r="J12" s="17">
        <v>0.25447883488745798</v>
      </c>
      <c r="K12" s="17">
        <v>0.26793370486423501</v>
      </c>
      <c r="L12" s="17">
        <v>0.29333205313644201</v>
      </c>
      <c r="M12" s="17"/>
      <c r="N12" s="17">
        <v>0.279393600673147</v>
      </c>
      <c r="O12" s="17">
        <v>0.22362663951828901</v>
      </c>
      <c r="P12" s="17">
        <v>0.20117795586304199</v>
      </c>
      <c r="Q12" s="17">
        <v>0.29763076617807999</v>
      </c>
      <c r="R12" s="17">
        <v>0.363719013787416</v>
      </c>
      <c r="S12" s="17">
        <v>0.23600964851519499</v>
      </c>
      <c r="T12" s="17">
        <v>0.201412062756821</v>
      </c>
      <c r="U12" s="17">
        <v>0.25503399772624902</v>
      </c>
      <c r="V12" s="17">
        <v>0.22073657675476699</v>
      </c>
      <c r="W12" s="17"/>
      <c r="X12" s="17">
        <v>0.26104206387421403</v>
      </c>
      <c r="Y12" s="17">
        <v>0.25388229422117298</v>
      </c>
    </row>
    <row r="13" spans="2:25" x14ac:dyDescent="0.35">
      <c r="B13" s="18" t="s">
        <v>508</v>
      </c>
      <c r="C13" s="17">
        <v>0.22107152996788601</v>
      </c>
      <c r="D13" s="17">
        <v>0.202721258259807</v>
      </c>
      <c r="E13" s="17">
        <v>0.237067853794627</v>
      </c>
      <c r="F13" s="17"/>
      <c r="G13" s="17">
        <v>0.13855979384797901</v>
      </c>
      <c r="H13" s="17">
        <v>0.152143780439249</v>
      </c>
      <c r="I13" s="17">
        <v>0.16099241393631999</v>
      </c>
      <c r="J13" s="17">
        <v>0.22058040992724801</v>
      </c>
      <c r="K13" s="17">
        <v>0.26119962209292902</v>
      </c>
      <c r="L13" s="17">
        <v>0.30504262513593899</v>
      </c>
      <c r="M13" s="17"/>
      <c r="N13" s="17">
        <v>0.22815561494582001</v>
      </c>
      <c r="O13" s="17">
        <v>9.6121788876766701E-2</v>
      </c>
      <c r="P13" s="17">
        <v>0.382080290769789</v>
      </c>
      <c r="Q13" s="17">
        <v>0.22264690962573599</v>
      </c>
      <c r="R13" s="17">
        <v>0.173911696998066</v>
      </c>
      <c r="S13" s="17">
        <v>0.21705519779223501</v>
      </c>
      <c r="T13" s="17">
        <v>0.115472399548293</v>
      </c>
      <c r="U13" s="17">
        <v>0.23750550318474301</v>
      </c>
      <c r="V13" s="17">
        <v>0.22522688109035499</v>
      </c>
      <c r="W13" s="17"/>
      <c r="X13" s="17">
        <v>0.195846243947358</v>
      </c>
      <c r="Y13" s="17">
        <v>0.23503035885791501</v>
      </c>
    </row>
    <row r="14" spans="2:25" x14ac:dyDescent="0.35">
      <c r="B14" s="18" t="s">
        <v>80</v>
      </c>
      <c r="C14" s="19">
        <v>9.9330960807585897E-2</v>
      </c>
      <c r="D14" s="19">
        <v>5.95438190363358E-2</v>
      </c>
      <c r="E14" s="19">
        <v>0.1369081549932</v>
      </c>
      <c r="F14" s="19"/>
      <c r="G14" s="19">
        <v>8.3079130528095499E-2</v>
      </c>
      <c r="H14" s="19">
        <v>5.93645808771672E-2</v>
      </c>
      <c r="I14" s="19">
        <v>7.2523909070200995E-2</v>
      </c>
      <c r="J14" s="19">
        <v>0.115102173152365</v>
      </c>
      <c r="K14" s="19">
        <v>0.11756593754922701</v>
      </c>
      <c r="L14" s="19">
        <v>0.123454122072494</v>
      </c>
      <c r="M14" s="19"/>
      <c r="N14" s="19">
        <v>7.54603691429067E-2</v>
      </c>
      <c r="O14" s="19">
        <v>4.4286523086818901E-2</v>
      </c>
      <c r="P14" s="19">
        <v>7.1456453500749403E-2</v>
      </c>
      <c r="Q14" s="19">
        <v>9.30467818682926E-2</v>
      </c>
      <c r="R14" s="19">
        <v>8.9429466715699804E-2</v>
      </c>
      <c r="S14" s="19">
        <v>0.14232126949318999</v>
      </c>
      <c r="T14" s="19">
        <v>0.16135961343878799</v>
      </c>
      <c r="U14" s="19">
        <v>5.4008829413257901E-2</v>
      </c>
      <c r="V14" s="19">
        <v>9.9626805668785498E-2</v>
      </c>
      <c r="W14" s="19"/>
      <c r="X14" s="19">
        <v>5.7805396231622903E-2</v>
      </c>
      <c r="Y14" s="19">
        <v>0.122309818213048</v>
      </c>
    </row>
    <row r="15" spans="2:25" x14ac:dyDescent="0.35">
      <c r="B15" s="16"/>
    </row>
    <row r="16" spans="2:25" x14ac:dyDescent="0.35">
      <c r="B16" t="s">
        <v>51</v>
      </c>
    </row>
    <row r="17" spans="2:2" x14ac:dyDescent="0.35">
      <c r="B17" t="s">
        <v>52</v>
      </c>
    </row>
    <row r="19" spans="2:2" x14ac:dyDescent="0.35">
      <c r="B19" s="8" t="str">
        <f>HYPERLINK("#'Contents'!A1", "Return to Contents")</f>
        <v>Return to Contents</v>
      </c>
    </row>
  </sheetData>
  <mergeCells count="5">
    <mergeCell ref="D5:E5"/>
    <mergeCell ref="G5:L5"/>
    <mergeCell ref="N5:V5"/>
    <mergeCell ref="X5:Y5"/>
    <mergeCell ref="D2:W2"/>
  </mergeCells>
  <pageMargins left="0.7" right="0.7" top="0.75" bottom="0.75" header="0.3" footer="0.3"/>
  <pageSetup paperSize="9" orientation="portrait" horizontalDpi="300" verticalDpi="300"/>
  <drawing r:id="rId1"/>
</worksheet>
</file>

<file path=xl/worksheets/sheet1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500-000000000000}">
  <dimension ref="B2:Y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s>
  <sheetData>
    <row r="2" spans="2:25" ht="40" customHeight="1" x14ac:dyDescent="0.35">
      <c r="D2" s="30" t="s">
        <v>520</v>
      </c>
      <c r="E2" s="26"/>
      <c r="F2" s="26"/>
      <c r="G2" s="26"/>
      <c r="H2" s="26"/>
      <c r="I2" s="26"/>
      <c r="J2" s="26"/>
      <c r="K2" s="26"/>
      <c r="L2" s="26"/>
      <c r="M2" s="26"/>
      <c r="N2" s="26"/>
      <c r="O2" s="26"/>
      <c r="P2" s="26"/>
      <c r="Q2" s="26"/>
      <c r="R2" s="26"/>
      <c r="S2" s="26"/>
      <c r="T2" s="26"/>
      <c r="U2" s="26"/>
      <c r="V2" s="26"/>
      <c r="W2" s="26"/>
    </row>
    <row r="5" spans="2:25" ht="30" customHeight="1" x14ac:dyDescent="0.35">
      <c r="B5" s="15"/>
      <c r="C5" s="15"/>
      <c r="D5" s="29" t="s">
        <v>38</v>
      </c>
      <c r="E5" s="29"/>
      <c r="F5" s="15"/>
      <c r="G5" s="29" t="s">
        <v>39</v>
      </c>
      <c r="H5" s="29"/>
      <c r="I5" s="29"/>
      <c r="J5" s="29"/>
      <c r="K5" s="29"/>
      <c r="L5" s="29"/>
      <c r="M5" s="15"/>
      <c r="N5" s="29" t="s">
        <v>40</v>
      </c>
      <c r="O5" s="29"/>
      <c r="P5" s="29"/>
      <c r="Q5" s="29"/>
      <c r="R5" s="29"/>
      <c r="S5" s="29"/>
      <c r="T5" s="29"/>
      <c r="U5" s="29"/>
      <c r="V5" s="29"/>
      <c r="W5" s="15"/>
      <c r="X5" s="29" t="s">
        <v>41</v>
      </c>
      <c r="Y5" s="29"/>
    </row>
    <row r="6" spans="2:25" ht="29"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row>
    <row r="7" spans="2:25" ht="30" customHeight="1" x14ac:dyDescent="0.35">
      <c r="B7" s="10" t="s">
        <v>19</v>
      </c>
      <c r="C7" s="10">
        <v>6838</v>
      </c>
      <c r="D7" s="10">
        <v>3283</v>
      </c>
      <c r="E7" s="10">
        <v>3541</v>
      </c>
      <c r="F7" s="10"/>
      <c r="G7" s="10">
        <v>635</v>
      </c>
      <c r="H7" s="10">
        <v>1075</v>
      </c>
      <c r="I7" s="10">
        <v>1093</v>
      </c>
      <c r="J7" s="10">
        <v>1228</v>
      </c>
      <c r="K7" s="10">
        <v>1156</v>
      </c>
      <c r="L7" s="10">
        <v>1651</v>
      </c>
      <c r="M7" s="10"/>
      <c r="N7" s="10">
        <v>208</v>
      </c>
      <c r="O7" s="10">
        <v>200</v>
      </c>
      <c r="P7" s="10">
        <v>1002</v>
      </c>
      <c r="Q7" s="10">
        <v>1000</v>
      </c>
      <c r="R7" s="10">
        <v>1004</v>
      </c>
      <c r="S7" s="10">
        <v>1006</v>
      </c>
      <c r="T7" s="10">
        <v>1006</v>
      </c>
      <c r="U7" s="10">
        <v>1007</v>
      </c>
      <c r="V7" s="10">
        <v>405</v>
      </c>
      <c r="W7" s="10"/>
      <c r="X7" s="10">
        <v>2650</v>
      </c>
      <c r="Y7" s="10">
        <v>4188</v>
      </c>
    </row>
    <row r="8" spans="2:25" ht="30" customHeight="1" x14ac:dyDescent="0.35">
      <c r="B8" s="11" t="s">
        <v>20</v>
      </c>
      <c r="C8" s="11">
        <v>6838</v>
      </c>
      <c r="D8" s="11">
        <v>3309</v>
      </c>
      <c r="E8" s="11">
        <v>3515</v>
      </c>
      <c r="F8" s="11"/>
      <c r="G8" s="11">
        <v>645</v>
      </c>
      <c r="H8" s="11">
        <v>1026</v>
      </c>
      <c r="I8" s="11">
        <v>1111</v>
      </c>
      <c r="J8" s="11">
        <v>1184</v>
      </c>
      <c r="K8" s="11">
        <v>1140</v>
      </c>
      <c r="L8" s="11">
        <v>1732</v>
      </c>
      <c r="M8" s="11"/>
      <c r="N8" s="11">
        <v>208</v>
      </c>
      <c r="O8" s="11">
        <v>200</v>
      </c>
      <c r="P8" s="11">
        <v>1002</v>
      </c>
      <c r="Q8" s="11">
        <v>1000</v>
      </c>
      <c r="R8" s="11">
        <v>1004</v>
      </c>
      <c r="S8" s="11">
        <v>1006</v>
      </c>
      <c r="T8" s="11">
        <v>1006</v>
      </c>
      <c r="U8" s="11">
        <v>1007</v>
      </c>
      <c r="V8" s="11">
        <v>405</v>
      </c>
      <c r="W8" s="11"/>
      <c r="X8" s="11">
        <v>2436</v>
      </c>
      <c r="Y8" s="11">
        <v>4402</v>
      </c>
    </row>
    <row r="9" spans="2:25" x14ac:dyDescent="0.35">
      <c r="B9" s="18" t="s">
        <v>514</v>
      </c>
      <c r="C9" s="17">
        <v>0.59898491865263903</v>
      </c>
      <c r="D9" s="17">
        <v>0.59365744514617202</v>
      </c>
      <c r="E9" s="17">
        <v>0.60437287918276905</v>
      </c>
      <c r="F9" s="17"/>
      <c r="G9" s="17">
        <v>0.58881225009805604</v>
      </c>
      <c r="H9" s="17">
        <v>0.56604700890409798</v>
      </c>
      <c r="I9" s="17">
        <v>0.54500285993469499</v>
      </c>
      <c r="J9" s="17">
        <v>0.62979213139984003</v>
      </c>
      <c r="K9" s="17">
        <v>0.62132805593200602</v>
      </c>
      <c r="L9" s="17">
        <v>0.62113756592167202</v>
      </c>
      <c r="M9" s="17"/>
      <c r="N9" s="17">
        <v>0.59004955090853095</v>
      </c>
      <c r="O9" s="17">
        <v>0.50899577281195996</v>
      </c>
      <c r="P9" s="17">
        <v>0.54465055843687404</v>
      </c>
      <c r="Q9" s="17">
        <v>0.58450458099566205</v>
      </c>
      <c r="R9" s="17">
        <v>0.63969301988698002</v>
      </c>
      <c r="S9" s="17">
        <v>0.67391115970457405</v>
      </c>
      <c r="T9" s="17">
        <v>0.53299724851178498</v>
      </c>
      <c r="U9" s="17">
        <v>0.63855255989493598</v>
      </c>
      <c r="V9" s="17">
        <v>0.59669356444341004</v>
      </c>
      <c r="W9" s="17"/>
      <c r="X9" s="17">
        <v>0.612969547517624</v>
      </c>
      <c r="Y9" s="17">
        <v>0.59124629316161204</v>
      </c>
    </row>
    <row r="10" spans="2:25" x14ac:dyDescent="0.35">
      <c r="B10" s="18" t="s">
        <v>515</v>
      </c>
      <c r="C10" s="17">
        <v>0.51112006434489399</v>
      </c>
      <c r="D10" s="17">
        <v>0.54637272072083598</v>
      </c>
      <c r="E10" s="17">
        <v>0.47770079499780799</v>
      </c>
      <c r="F10" s="17"/>
      <c r="G10" s="17">
        <v>0.50279544713399504</v>
      </c>
      <c r="H10" s="17">
        <v>0.50772378664934903</v>
      </c>
      <c r="I10" s="17">
        <v>0.52216816141204403</v>
      </c>
      <c r="J10" s="17">
        <v>0.49595251566627302</v>
      </c>
      <c r="K10" s="17">
        <v>0.509459084328162</v>
      </c>
      <c r="L10" s="17">
        <v>0.52059977531627799</v>
      </c>
      <c r="M10" s="17"/>
      <c r="N10" s="17">
        <v>0.60563645444660896</v>
      </c>
      <c r="O10" s="17">
        <v>0.53935565082032699</v>
      </c>
      <c r="P10" s="17">
        <v>0.344524785747502</v>
      </c>
      <c r="Q10" s="17">
        <v>0.45786841382218202</v>
      </c>
      <c r="R10" s="17">
        <v>0.56237656574643502</v>
      </c>
      <c r="S10" s="17">
        <v>0.50589521230832102</v>
      </c>
      <c r="T10" s="17">
        <v>0.58509963551208299</v>
      </c>
      <c r="U10" s="17">
        <v>0.57165240056027999</v>
      </c>
      <c r="V10" s="17">
        <v>0.54393180710936895</v>
      </c>
      <c r="W10" s="17"/>
      <c r="X10" s="17">
        <v>0.53507142062604696</v>
      </c>
      <c r="Y10" s="17">
        <v>0.49786618552898398</v>
      </c>
    </row>
    <row r="11" spans="2:25" ht="29" x14ac:dyDescent="0.35">
      <c r="B11" s="18" t="s">
        <v>516</v>
      </c>
      <c r="C11" s="17">
        <v>0.34816963643476501</v>
      </c>
      <c r="D11" s="17">
        <v>0.33867697669521901</v>
      </c>
      <c r="E11" s="17">
        <v>0.357365732686872</v>
      </c>
      <c r="F11" s="17"/>
      <c r="G11" s="17">
        <v>0.34000459711459202</v>
      </c>
      <c r="H11" s="17">
        <v>0.32167605699101498</v>
      </c>
      <c r="I11" s="17">
        <v>0.33829749608742399</v>
      </c>
      <c r="J11" s="17">
        <v>0.34273111511528898</v>
      </c>
      <c r="K11" s="17">
        <v>0.33402498175451101</v>
      </c>
      <c r="L11" s="17">
        <v>0.386251236204944</v>
      </c>
      <c r="M11" s="17"/>
      <c r="N11" s="17">
        <v>0.37095468773617202</v>
      </c>
      <c r="O11" s="17">
        <v>0.38237838486394998</v>
      </c>
      <c r="P11" s="17">
        <v>0.45032200657468102</v>
      </c>
      <c r="Q11" s="17">
        <v>0.36940285911533399</v>
      </c>
      <c r="R11" s="17">
        <v>0.31464057004901502</v>
      </c>
      <c r="S11" s="17">
        <v>0.30967551999142101</v>
      </c>
      <c r="T11" s="17">
        <v>0.32971790792566502</v>
      </c>
      <c r="U11" s="17">
        <v>0.30775306752849801</v>
      </c>
      <c r="V11" s="17">
        <v>0.33947642568110398</v>
      </c>
      <c r="W11" s="17"/>
      <c r="X11" s="17">
        <v>0.32092243761455502</v>
      </c>
      <c r="Y11" s="17">
        <v>0.36324732418642802</v>
      </c>
    </row>
    <row r="12" spans="2:25" ht="29" x14ac:dyDescent="0.35">
      <c r="B12" s="18" t="s">
        <v>517</v>
      </c>
      <c r="C12" s="17">
        <v>0.31910029814025798</v>
      </c>
      <c r="D12" s="17">
        <v>0.31797550843625899</v>
      </c>
      <c r="E12" s="17">
        <v>0.32067060758928001</v>
      </c>
      <c r="F12" s="17"/>
      <c r="G12" s="17">
        <v>0.36691598130206599</v>
      </c>
      <c r="H12" s="17">
        <v>0.34773777533674999</v>
      </c>
      <c r="I12" s="17">
        <v>0.31923186653570501</v>
      </c>
      <c r="J12" s="17">
        <v>0.299404392807327</v>
      </c>
      <c r="K12" s="17">
        <v>0.28518397678463397</v>
      </c>
      <c r="L12" s="17">
        <v>0.32005205380930202</v>
      </c>
      <c r="M12" s="17"/>
      <c r="N12" s="17">
        <v>0.33262385730409599</v>
      </c>
      <c r="O12" s="17">
        <v>0.39006752172598902</v>
      </c>
      <c r="P12" s="17">
        <v>0.31078513631460403</v>
      </c>
      <c r="Q12" s="17">
        <v>0.27212173358261998</v>
      </c>
      <c r="R12" s="17">
        <v>0.240619809189663</v>
      </c>
      <c r="S12" s="17">
        <v>0.23838716845510799</v>
      </c>
      <c r="T12" s="17">
        <v>0.33769530941372</v>
      </c>
      <c r="U12" s="17">
        <v>0.47143742092511898</v>
      </c>
      <c r="V12" s="17">
        <v>0.38375651312278303</v>
      </c>
      <c r="W12" s="17"/>
      <c r="X12" s="17">
        <v>0.38144667702814999</v>
      </c>
      <c r="Y12" s="17">
        <v>0.28459989905258298</v>
      </c>
    </row>
    <row r="13" spans="2:25" ht="29" x14ac:dyDescent="0.35">
      <c r="B13" s="18" t="s">
        <v>518</v>
      </c>
      <c r="C13" s="17">
        <v>0.20288878906142699</v>
      </c>
      <c r="D13" s="17">
        <v>0.21646447900003901</v>
      </c>
      <c r="E13" s="17">
        <v>0.18951034494996999</v>
      </c>
      <c r="F13" s="17"/>
      <c r="G13" s="17">
        <v>0.28761542704085502</v>
      </c>
      <c r="H13" s="17">
        <v>0.25357893386292601</v>
      </c>
      <c r="I13" s="17">
        <v>0.226286317685439</v>
      </c>
      <c r="J13" s="17">
        <v>0.183260702472056</v>
      </c>
      <c r="K13" s="17">
        <v>0.15772585408015999</v>
      </c>
      <c r="L13" s="17">
        <v>0.16948178757847099</v>
      </c>
      <c r="M13" s="17"/>
      <c r="N13" s="17">
        <v>0.21419379924711399</v>
      </c>
      <c r="O13" s="17">
        <v>0.15484159612929499</v>
      </c>
      <c r="P13" s="17">
        <v>0.22204010085970599</v>
      </c>
      <c r="Q13" s="17">
        <v>0.21699011709758401</v>
      </c>
      <c r="R13" s="17">
        <v>0.180393971178965</v>
      </c>
      <c r="S13" s="17">
        <v>0.18696531753588899</v>
      </c>
      <c r="T13" s="17">
        <v>0.22041540730258299</v>
      </c>
      <c r="U13" s="17">
        <v>0.205538138660668</v>
      </c>
      <c r="V13" s="17">
        <v>0.183805308867388</v>
      </c>
      <c r="W13" s="17"/>
      <c r="X13" s="17">
        <v>0.20701034882077901</v>
      </c>
      <c r="Y13" s="17">
        <v>0.200608055856102</v>
      </c>
    </row>
    <row r="14" spans="2:25" ht="29" x14ac:dyDescent="0.35">
      <c r="B14" s="18" t="s">
        <v>519</v>
      </c>
      <c r="C14" s="17">
        <v>0.113113739241003</v>
      </c>
      <c r="D14" s="17">
        <v>0.13794658738187601</v>
      </c>
      <c r="E14" s="17">
        <v>8.9216285938310505E-2</v>
      </c>
      <c r="F14" s="17"/>
      <c r="G14" s="17">
        <v>0.19915304618292201</v>
      </c>
      <c r="H14" s="17">
        <v>0.152940554138111</v>
      </c>
      <c r="I14" s="17">
        <v>0.149850950514274</v>
      </c>
      <c r="J14" s="17">
        <v>9.0327334101598197E-2</v>
      </c>
      <c r="K14" s="17">
        <v>8.4831526016121803E-2</v>
      </c>
      <c r="L14" s="17">
        <v>6.8139400136184899E-2</v>
      </c>
      <c r="M14" s="17"/>
      <c r="N14" s="17">
        <v>7.4437211773126802E-2</v>
      </c>
      <c r="O14" s="17">
        <v>9.0331013088436607E-2</v>
      </c>
      <c r="P14" s="17">
        <v>0.134674166877393</v>
      </c>
      <c r="Q14" s="17">
        <v>0.13219951203845001</v>
      </c>
      <c r="R14" s="17">
        <v>0.12770102205601999</v>
      </c>
      <c r="S14" s="17">
        <v>9.7035487409186105E-2</v>
      </c>
      <c r="T14" s="17">
        <v>0.105050942506867</v>
      </c>
      <c r="U14" s="17">
        <v>9.5253799938800093E-2</v>
      </c>
      <c r="V14" s="17">
        <v>0.111970932927693</v>
      </c>
      <c r="W14" s="17"/>
      <c r="X14" s="17">
        <v>0.14274447542450999</v>
      </c>
      <c r="Y14" s="17">
        <v>9.6717081699257801E-2</v>
      </c>
    </row>
    <row r="15" spans="2:25" x14ac:dyDescent="0.35">
      <c r="B15" s="18" t="s">
        <v>68</v>
      </c>
      <c r="C15" s="17">
        <v>1.31773908677762E-2</v>
      </c>
      <c r="D15" s="17">
        <v>1.8268369259664401E-2</v>
      </c>
      <c r="E15" s="17">
        <v>8.4374689378071601E-3</v>
      </c>
      <c r="F15" s="17"/>
      <c r="G15" s="17">
        <v>5.01528551404881E-3</v>
      </c>
      <c r="H15" s="17">
        <v>8.0596414862695708E-3</v>
      </c>
      <c r="I15" s="17">
        <v>1.53812040787901E-2</v>
      </c>
      <c r="J15" s="17">
        <v>1.45435502811831E-2</v>
      </c>
      <c r="K15" s="17">
        <v>1.7802444568720099E-2</v>
      </c>
      <c r="L15" s="17">
        <v>1.3853016888047199E-2</v>
      </c>
      <c r="M15" s="17"/>
      <c r="N15" s="17">
        <v>1.4095418223155199E-2</v>
      </c>
      <c r="O15" s="17">
        <v>1.8872129770828101E-2</v>
      </c>
      <c r="P15" s="17">
        <v>9.5859777744165993E-3</v>
      </c>
      <c r="Q15" s="17">
        <v>2.2629210872944901E-2</v>
      </c>
      <c r="R15" s="17">
        <v>9.1171503526246093E-3</v>
      </c>
      <c r="S15" s="17">
        <v>1.78158714933839E-2</v>
      </c>
      <c r="T15" s="17">
        <v>9.6517940503167508E-3</v>
      </c>
      <c r="U15" s="17">
        <v>1.3265663890356201E-2</v>
      </c>
      <c r="V15" s="17">
        <v>2.52284241425931E-3</v>
      </c>
      <c r="W15" s="17"/>
      <c r="X15" s="17">
        <v>1.7301229542349601E-2</v>
      </c>
      <c r="Y15" s="17">
        <v>1.0895396587053E-2</v>
      </c>
    </row>
    <row r="16" spans="2:25" x14ac:dyDescent="0.35">
      <c r="B16" s="18" t="s">
        <v>80</v>
      </c>
      <c r="C16" s="19">
        <v>0.115917744978868</v>
      </c>
      <c r="D16" s="19">
        <v>8.8936191860571903E-2</v>
      </c>
      <c r="E16" s="19">
        <v>0.14178202963489001</v>
      </c>
      <c r="F16" s="19"/>
      <c r="G16" s="19">
        <v>6.4424139148286097E-2</v>
      </c>
      <c r="H16" s="19">
        <v>8.8428921070189001E-2</v>
      </c>
      <c r="I16" s="19">
        <v>0.10604973981539099</v>
      </c>
      <c r="J16" s="19">
        <v>0.130393230783901</v>
      </c>
      <c r="K16" s="19">
        <v>0.14235789529454501</v>
      </c>
      <c r="L16" s="19">
        <v>0.13038852359415301</v>
      </c>
      <c r="M16" s="19"/>
      <c r="N16" s="19">
        <v>9.1621688635268497E-2</v>
      </c>
      <c r="O16" s="19">
        <v>0.134179448815682</v>
      </c>
      <c r="P16" s="19">
        <v>0.131344666663743</v>
      </c>
      <c r="Q16" s="19">
        <v>0.12507632675944499</v>
      </c>
      <c r="R16" s="19">
        <v>0.10379900816809701</v>
      </c>
      <c r="S16" s="19">
        <v>0.13225515971548901</v>
      </c>
      <c r="T16" s="19">
        <v>0.11130541124547</v>
      </c>
      <c r="U16" s="19">
        <v>9.1820459895784801E-2</v>
      </c>
      <c r="V16" s="19">
        <v>0.119430406684351</v>
      </c>
      <c r="W16" s="19"/>
      <c r="X16" s="19">
        <v>8.2688951114234105E-2</v>
      </c>
      <c r="Y16" s="19">
        <v>0.13430544719960799</v>
      </c>
    </row>
    <row r="17" spans="2:2" x14ac:dyDescent="0.35">
      <c r="B17" s="16"/>
    </row>
    <row r="18" spans="2:2" x14ac:dyDescent="0.35">
      <c r="B18" t="s">
        <v>51</v>
      </c>
    </row>
    <row r="19" spans="2:2" x14ac:dyDescent="0.35">
      <c r="B19" t="s">
        <v>52</v>
      </c>
    </row>
    <row r="21" spans="2:2" x14ac:dyDescent="0.35">
      <c r="B21" s="8" t="str">
        <f>HYPERLINK("#'Contents'!A1", "Return to Contents")</f>
        <v>Return to Contents</v>
      </c>
    </row>
  </sheetData>
  <mergeCells count="5">
    <mergeCell ref="D5:E5"/>
    <mergeCell ref="G5:L5"/>
    <mergeCell ref="N5:V5"/>
    <mergeCell ref="X5:Y5"/>
    <mergeCell ref="D2:W2"/>
  </mergeCells>
  <pageMargins left="0.7" right="0.7" top="0.75" bottom="0.75" header="0.3" footer="0.3"/>
  <pageSetup paperSize="9" orientation="portrait" horizontalDpi="300" verticalDpi="300"/>
  <drawing r:id="rId1"/>
</worksheet>
</file>

<file path=xl/worksheets/sheet1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600-000000000000}">
  <dimension ref="B2:Y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s>
  <sheetData>
    <row r="2" spans="2:25" ht="40" customHeight="1" x14ac:dyDescent="0.35">
      <c r="D2" s="30" t="s">
        <v>521</v>
      </c>
      <c r="E2" s="26"/>
      <c r="F2" s="26"/>
      <c r="G2" s="26"/>
      <c r="H2" s="26"/>
      <c r="I2" s="26"/>
      <c r="J2" s="26"/>
      <c r="K2" s="26"/>
      <c r="L2" s="26"/>
      <c r="M2" s="26"/>
      <c r="N2" s="26"/>
      <c r="O2" s="26"/>
      <c r="P2" s="26"/>
      <c r="Q2" s="26"/>
      <c r="R2" s="26"/>
      <c r="S2" s="26"/>
      <c r="T2" s="26"/>
      <c r="U2" s="26"/>
      <c r="V2" s="26"/>
      <c r="W2" s="26"/>
    </row>
    <row r="5" spans="2:25" ht="30" customHeight="1" x14ac:dyDescent="0.35">
      <c r="B5" s="15"/>
      <c r="C5" s="15"/>
      <c r="D5" s="29" t="s">
        <v>38</v>
      </c>
      <c r="E5" s="29"/>
      <c r="F5" s="15"/>
      <c r="G5" s="29" t="s">
        <v>39</v>
      </c>
      <c r="H5" s="29"/>
      <c r="I5" s="29"/>
      <c r="J5" s="29"/>
      <c r="K5" s="29"/>
      <c r="L5" s="29"/>
      <c r="M5" s="15"/>
      <c r="N5" s="29" t="s">
        <v>40</v>
      </c>
      <c r="O5" s="29"/>
      <c r="P5" s="29"/>
      <c r="Q5" s="29"/>
      <c r="R5" s="29"/>
      <c r="S5" s="29"/>
      <c r="T5" s="29"/>
      <c r="U5" s="29"/>
      <c r="V5" s="29"/>
      <c r="W5" s="15"/>
      <c r="X5" s="29" t="s">
        <v>41</v>
      </c>
      <c r="Y5" s="29"/>
    </row>
    <row r="6" spans="2:25" ht="29"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row>
    <row r="7" spans="2:25" ht="30" customHeight="1" x14ac:dyDescent="0.35">
      <c r="B7" s="10" t="s">
        <v>19</v>
      </c>
      <c r="C7" s="10">
        <v>6838</v>
      </c>
      <c r="D7" s="10">
        <v>3283</v>
      </c>
      <c r="E7" s="10">
        <v>3541</v>
      </c>
      <c r="F7" s="10"/>
      <c r="G7" s="10">
        <v>635</v>
      </c>
      <c r="H7" s="10">
        <v>1075</v>
      </c>
      <c r="I7" s="10">
        <v>1093</v>
      </c>
      <c r="J7" s="10">
        <v>1228</v>
      </c>
      <c r="K7" s="10">
        <v>1156</v>
      </c>
      <c r="L7" s="10">
        <v>1651</v>
      </c>
      <c r="M7" s="10"/>
      <c r="N7" s="10">
        <v>208</v>
      </c>
      <c r="O7" s="10">
        <v>200</v>
      </c>
      <c r="P7" s="10">
        <v>1002</v>
      </c>
      <c r="Q7" s="10">
        <v>1000</v>
      </c>
      <c r="R7" s="10">
        <v>1004</v>
      </c>
      <c r="S7" s="10">
        <v>1006</v>
      </c>
      <c r="T7" s="10">
        <v>1006</v>
      </c>
      <c r="U7" s="10">
        <v>1007</v>
      </c>
      <c r="V7" s="10">
        <v>405</v>
      </c>
      <c r="W7" s="10"/>
      <c r="X7" s="10">
        <v>2650</v>
      </c>
      <c r="Y7" s="10">
        <v>4188</v>
      </c>
    </row>
    <row r="8" spans="2:25" ht="30" customHeight="1" x14ac:dyDescent="0.35">
      <c r="B8" s="11" t="s">
        <v>20</v>
      </c>
      <c r="C8" s="11">
        <v>6838</v>
      </c>
      <c r="D8" s="11">
        <v>3309</v>
      </c>
      <c r="E8" s="11">
        <v>3515</v>
      </c>
      <c r="F8" s="11"/>
      <c r="G8" s="11">
        <v>645</v>
      </c>
      <c r="H8" s="11">
        <v>1026</v>
      </c>
      <c r="I8" s="11">
        <v>1111</v>
      </c>
      <c r="J8" s="11">
        <v>1184</v>
      </c>
      <c r="K8" s="11">
        <v>1140</v>
      </c>
      <c r="L8" s="11">
        <v>1732</v>
      </c>
      <c r="M8" s="11"/>
      <c r="N8" s="11">
        <v>208</v>
      </c>
      <c r="O8" s="11">
        <v>200</v>
      </c>
      <c r="P8" s="11">
        <v>1002</v>
      </c>
      <c r="Q8" s="11">
        <v>1000</v>
      </c>
      <c r="R8" s="11">
        <v>1004</v>
      </c>
      <c r="S8" s="11">
        <v>1006</v>
      </c>
      <c r="T8" s="11">
        <v>1006</v>
      </c>
      <c r="U8" s="11">
        <v>1007</v>
      </c>
      <c r="V8" s="11">
        <v>405</v>
      </c>
      <c r="W8" s="11"/>
      <c r="X8" s="11">
        <v>2436</v>
      </c>
      <c r="Y8" s="11">
        <v>4402</v>
      </c>
    </row>
    <row r="9" spans="2:25" x14ac:dyDescent="0.35">
      <c r="B9" s="18" t="s">
        <v>276</v>
      </c>
      <c r="C9" s="17">
        <v>0.30838095006319299</v>
      </c>
      <c r="D9" s="17">
        <v>0.29917726530382599</v>
      </c>
      <c r="E9" s="17">
        <v>0.31746872763719503</v>
      </c>
      <c r="F9" s="17"/>
      <c r="G9" s="17">
        <v>0.24827134575752499</v>
      </c>
      <c r="H9" s="17">
        <v>0.27673157467014797</v>
      </c>
      <c r="I9" s="17">
        <v>0.28465437925887199</v>
      </c>
      <c r="J9" s="17">
        <v>0.302276539719399</v>
      </c>
      <c r="K9" s="17">
        <v>0.32673070783657998</v>
      </c>
      <c r="L9" s="17">
        <v>0.356799247098743</v>
      </c>
      <c r="M9" s="17"/>
      <c r="N9" s="17">
        <v>0.33257756138808098</v>
      </c>
      <c r="O9" s="17">
        <v>0.39690101189772298</v>
      </c>
      <c r="P9" s="17">
        <v>0.38883226395568998</v>
      </c>
      <c r="Q9" s="17">
        <v>0.33167995025165598</v>
      </c>
      <c r="R9" s="17">
        <v>0.23950861305739801</v>
      </c>
      <c r="S9" s="17">
        <v>0.23242221907477201</v>
      </c>
      <c r="T9" s="17">
        <v>0.26171204241241403</v>
      </c>
      <c r="U9" s="17">
        <v>0.37353378892780398</v>
      </c>
      <c r="V9" s="17">
        <v>0.30900859909273198</v>
      </c>
      <c r="W9" s="17"/>
      <c r="X9" s="17">
        <v>0.31863644648964401</v>
      </c>
      <c r="Y9" s="17">
        <v>0.302705901634302</v>
      </c>
    </row>
    <row r="10" spans="2:25" x14ac:dyDescent="0.35">
      <c r="B10" s="18" t="s">
        <v>277</v>
      </c>
      <c r="C10" s="17">
        <v>0.39511160193154099</v>
      </c>
      <c r="D10" s="17">
        <v>0.41702849192921898</v>
      </c>
      <c r="E10" s="17">
        <v>0.37485100693714202</v>
      </c>
      <c r="F10" s="17"/>
      <c r="G10" s="17">
        <v>0.433532463994666</v>
      </c>
      <c r="H10" s="17">
        <v>0.42185612416392199</v>
      </c>
      <c r="I10" s="17">
        <v>0.40076982029165698</v>
      </c>
      <c r="J10" s="17">
        <v>0.39109635756348998</v>
      </c>
      <c r="K10" s="17">
        <v>0.36412994327085302</v>
      </c>
      <c r="L10" s="17">
        <v>0.38448811050329101</v>
      </c>
      <c r="M10" s="17"/>
      <c r="N10" s="17">
        <v>0.40479500074849301</v>
      </c>
      <c r="O10" s="17">
        <v>0.406901327359733</v>
      </c>
      <c r="P10" s="17">
        <v>0.39409361341560101</v>
      </c>
      <c r="Q10" s="17">
        <v>0.41152842942402901</v>
      </c>
      <c r="R10" s="17">
        <v>0.46735262680254502</v>
      </c>
      <c r="S10" s="17">
        <v>0.38242871295139802</v>
      </c>
      <c r="T10" s="17">
        <v>0.41179144484740798</v>
      </c>
      <c r="U10" s="17">
        <v>0.29707174761449601</v>
      </c>
      <c r="V10" s="17">
        <v>0.401053117063288</v>
      </c>
      <c r="W10" s="17"/>
      <c r="X10" s="17">
        <v>0.404482003942222</v>
      </c>
      <c r="Y10" s="17">
        <v>0.38992633512459801</v>
      </c>
    </row>
    <row r="11" spans="2:25" ht="29" x14ac:dyDescent="0.35">
      <c r="B11" s="18" t="s">
        <v>278</v>
      </c>
      <c r="C11" s="17">
        <v>0.17813521489842499</v>
      </c>
      <c r="D11" s="17">
        <v>0.18710654646628799</v>
      </c>
      <c r="E11" s="17">
        <v>0.16973956244715399</v>
      </c>
      <c r="F11" s="17"/>
      <c r="G11" s="17">
        <v>0.226671907712857</v>
      </c>
      <c r="H11" s="17">
        <v>0.20976080223975299</v>
      </c>
      <c r="I11" s="17">
        <v>0.204643083291874</v>
      </c>
      <c r="J11" s="17">
        <v>0.175673138606802</v>
      </c>
      <c r="K11" s="17">
        <v>0.16358614791880299</v>
      </c>
      <c r="L11" s="17">
        <v>0.135605961756049</v>
      </c>
      <c r="M11" s="17"/>
      <c r="N11" s="17">
        <v>0.14452225120710899</v>
      </c>
      <c r="O11" s="17">
        <v>0.102745974844203</v>
      </c>
      <c r="P11" s="17">
        <v>0.113081802350789</v>
      </c>
      <c r="Q11" s="17">
        <v>0.164139247205219</v>
      </c>
      <c r="R11" s="17">
        <v>0.18071302119386701</v>
      </c>
      <c r="S11" s="17">
        <v>0.211128244940226</v>
      </c>
      <c r="T11" s="17">
        <v>0.21584948966478201</v>
      </c>
      <c r="U11" s="17">
        <v>0.20971945232099601</v>
      </c>
      <c r="V11" s="17">
        <v>0.16757679090438499</v>
      </c>
      <c r="W11" s="17"/>
      <c r="X11" s="17">
        <v>0.18042176983806901</v>
      </c>
      <c r="Y11" s="17">
        <v>0.176869911935193</v>
      </c>
    </row>
    <row r="12" spans="2:25" x14ac:dyDescent="0.35">
      <c r="B12" s="18" t="s">
        <v>279</v>
      </c>
      <c r="C12" s="17">
        <v>2.2242902036425101E-2</v>
      </c>
      <c r="D12" s="17">
        <v>2.9437951914749402E-2</v>
      </c>
      <c r="E12" s="17">
        <v>1.5325710251269499E-2</v>
      </c>
      <c r="F12" s="17"/>
      <c r="G12" s="17">
        <v>3.7963935539749E-2</v>
      </c>
      <c r="H12" s="17">
        <v>2.2447623008325202E-2</v>
      </c>
      <c r="I12" s="17">
        <v>2.62469927483166E-2</v>
      </c>
      <c r="J12" s="17">
        <v>2.2637736119538E-2</v>
      </c>
      <c r="K12" s="17">
        <v>2.2021271286677298E-2</v>
      </c>
      <c r="L12" s="17">
        <v>1.35788164202448E-2</v>
      </c>
      <c r="M12" s="17"/>
      <c r="N12" s="17">
        <v>3.2019773416243798E-2</v>
      </c>
      <c r="O12" s="17">
        <v>2.3488271209631598E-2</v>
      </c>
      <c r="P12" s="17">
        <v>1.70499946646674E-2</v>
      </c>
      <c r="Q12" s="17">
        <v>1.97886974799911E-2</v>
      </c>
      <c r="R12" s="17">
        <v>1.8482224385963201E-2</v>
      </c>
      <c r="S12" s="17">
        <v>3.8385438741170202E-2</v>
      </c>
      <c r="T12" s="17">
        <v>1.2528289070257E-2</v>
      </c>
      <c r="U12" s="17">
        <v>2.2619117138023101E-2</v>
      </c>
      <c r="V12" s="17">
        <v>2.79347912562708E-2</v>
      </c>
      <c r="W12" s="17"/>
      <c r="X12" s="17">
        <v>2.7503839640191902E-2</v>
      </c>
      <c r="Y12" s="17">
        <v>1.93316752716488E-2</v>
      </c>
    </row>
    <row r="13" spans="2:25" x14ac:dyDescent="0.35">
      <c r="B13" s="18" t="s">
        <v>280</v>
      </c>
      <c r="C13" s="17">
        <v>1.3992152284001899E-2</v>
      </c>
      <c r="D13" s="17">
        <v>1.61374846804807E-2</v>
      </c>
      <c r="E13" s="17">
        <v>1.1772199086749599E-2</v>
      </c>
      <c r="F13" s="17"/>
      <c r="G13" s="17">
        <v>6.4621187099524599E-3</v>
      </c>
      <c r="H13" s="17">
        <v>1.18038360481106E-2</v>
      </c>
      <c r="I13" s="17">
        <v>1.7142241861311299E-2</v>
      </c>
      <c r="J13" s="17">
        <v>1.1675186555018899E-2</v>
      </c>
      <c r="K13" s="17">
        <v>1.13417934496929E-2</v>
      </c>
      <c r="L13" s="17">
        <v>1.93970604122332E-2</v>
      </c>
      <c r="M13" s="17"/>
      <c r="N13" s="17">
        <v>9.1836230564529796E-3</v>
      </c>
      <c r="O13" s="17">
        <v>3.5130108547229699E-3</v>
      </c>
      <c r="P13" s="17">
        <v>5.6778249154209003E-3</v>
      </c>
      <c r="Q13" s="17">
        <v>1.4339163697848699E-2</v>
      </c>
      <c r="R13" s="17">
        <v>1.42577029583479E-2</v>
      </c>
      <c r="S13" s="17">
        <v>2.9708137488623401E-2</v>
      </c>
      <c r="T13" s="17">
        <v>1.74091528703984E-2</v>
      </c>
      <c r="U13" s="17">
        <v>1.04281723065598E-2</v>
      </c>
      <c r="V13" s="17">
        <v>2.0279009979132399E-3</v>
      </c>
      <c r="W13" s="17"/>
      <c r="X13" s="17">
        <v>1.30218019269408E-2</v>
      </c>
      <c r="Y13" s="17">
        <v>1.4529111689995201E-2</v>
      </c>
    </row>
    <row r="14" spans="2:25" x14ac:dyDescent="0.35">
      <c r="B14" s="18" t="s">
        <v>224</v>
      </c>
      <c r="C14" s="17">
        <v>8.2137178786414106E-2</v>
      </c>
      <c r="D14" s="17">
        <v>5.1112259705437299E-2</v>
      </c>
      <c r="E14" s="17">
        <v>0.110842793640491</v>
      </c>
      <c r="F14" s="17"/>
      <c r="G14" s="17">
        <v>4.7098228285250503E-2</v>
      </c>
      <c r="H14" s="17">
        <v>5.74000398697413E-2</v>
      </c>
      <c r="I14" s="17">
        <v>6.6543482547968894E-2</v>
      </c>
      <c r="J14" s="17">
        <v>9.6641041435751696E-2</v>
      </c>
      <c r="K14" s="17">
        <v>0.112190136237394</v>
      </c>
      <c r="L14" s="17">
        <v>9.0130803809438303E-2</v>
      </c>
      <c r="M14" s="17"/>
      <c r="N14" s="17">
        <v>7.6901790183620505E-2</v>
      </c>
      <c r="O14" s="17">
        <v>6.6450403833985899E-2</v>
      </c>
      <c r="P14" s="17">
        <v>8.1264500697831296E-2</v>
      </c>
      <c r="Q14" s="17">
        <v>5.85245119412557E-2</v>
      </c>
      <c r="R14" s="17">
        <v>7.9685811601878806E-2</v>
      </c>
      <c r="S14" s="17">
        <v>0.10592724680380999</v>
      </c>
      <c r="T14" s="17">
        <v>8.0709581134741595E-2</v>
      </c>
      <c r="U14" s="17">
        <v>8.6627721692120699E-2</v>
      </c>
      <c r="V14" s="17">
        <v>9.2398800685411203E-2</v>
      </c>
      <c r="W14" s="17"/>
      <c r="X14" s="17">
        <v>5.5934138162932003E-2</v>
      </c>
      <c r="Y14" s="17">
        <v>9.6637064344262905E-2</v>
      </c>
    </row>
    <row r="15" spans="2:25" x14ac:dyDescent="0.35">
      <c r="B15" s="18" t="s">
        <v>281</v>
      </c>
      <c r="C15" s="21">
        <v>0.70349255199473404</v>
      </c>
      <c r="D15" s="21">
        <v>0.71620575723304403</v>
      </c>
      <c r="E15" s="21">
        <v>0.69231973457433604</v>
      </c>
      <c r="F15" s="21"/>
      <c r="G15" s="21">
        <v>0.68180380975219101</v>
      </c>
      <c r="H15" s="21">
        <v>0.69858769883407001</v>
      </c>
      <c r="I15" s="21">
        <v>0.68542419955052902</v>
      </c>
      <c r="J15" s="21">
        <v>0.69337289728288898</v>
      </c>
      <c r="K15" s="21">
        <v>0.690860651107433</v>
      </c>
      <c r="L15" s="21">
        <v>0.74128735760203401</v>
      </c>
      <c r="M15" s="21"/>
      <c r="N15" s="21">
        <v>0.73737256213657398</v>
      </c>
      <c r="O15" s="21">
        <v>0.80380233925745603</v>
      </c>
      <c r="P15" s="21">
        <v>0.78292587737129105</v>
      </c>
      <c r="Q15" s="21">
        <v>0.74320837967568498</v>
      </c>
      <c r="R15" s="21">
        <v>0.70686123985994298</v>
      </c>
      <c r="S15" s="21">
        <v>0.61485093202617003</v>
      </c>
      <c r="T15" s="21">
        <v>0.67350348725982101</v>
      </c>
      <c r="U15" s="21">
        <v>0.67060553654230004</v>
      </c>
      <c r="V15" s="21">
        <v>0.71006171615601898</v>
      </c>
      <c r="W15" s="21"/>
      <c r="X15" s="21">
        <v>0.72311845043186596</v>
      </c>
      <c r="Y15" s="21">
        <v>0.69263223675889996</v>
      </c>
    </row>
    <row r="16" spans="2:25" x14ac:dyDescent="0.35">
      <c r="B16" s="18" t="s">
        <v>282</v>
      </c>
      <c r="C16" s="21">
        <v>3.6235054320427E-2</v>
      </c>
      <c r="D16" s="21">
        <v>4.5575436595230098E-2</v>
      </c>
      <c r="E16" s="21">
        <v>2.7097909338019002E-2</v>
      </c>
      <c r="F16" s="21"/>
      <c r="G16" s="21">
        <v>4.4426054249701502E-2</v>
      </c>
      <c r="H16" s="21">
        <v>3.4251459056435903E-2</v>
      </c>
      <c r="I16" s="21">
        <v>4.3389234609627902E-2</v>
      </c>
      <c r="J16" s="21">
        <v>3.4312922674556899E-2</v>
      </c>
      <c r="K16" s="21">
        <v>3.3363064736370199E-2</v>
      </c>
      <c r="L16" s="21">
        <v>3.2975876832477997E-2</v>
      </c>
      <c r="M16" s="21"/>
      <c r="N16" s="21">
        <v>4.1203396472696802E-2</v>
      </c>
      <c r="O16" s="21">
        <v>2.7001282064354499E-2</v>
      </c>
      <c r="P16" s="21">
        <v>2.27278195800883E-2</v>
      </c>
      <c r="Q16" s="21">
        <v>3.4127861177839697E-2</v>
      </c>
      <c r="R16" s="21">
        <v>3.2739927344311102E-2</v>
      </c>
      <c r="S16" s="21">
        <v>6.8093576229793604E-2</v>
      </c>
      <c r="T16" s="21">
        <v>2.9937441940655399E-2</v>
      </c>
      <c r="U16" s="21">
        <v>3.3047289444582899E-2</v>
      </c>
      <c r="V16" s="21">
        <v>2.9962692254183999E-2</v>
      </c>
      <c r="W16" s="21"/>
      <c r="X16" s="21">
        <v>4.0525641567132703E-2</v>
      </c>
      <c r="Y16" s="21">
        <v>3.3860786961643997E-2</v>
      </c>
    </row>
    <row r="17" spans="2:25" x14ac:dyDescent="0.35">
      <c r="B17" s="18" t="s">
        <v>92</v>
      </c>
      <c r="C17" s="22">
        <v>0.66725749767430698</v>
      </c>
      <c r="D17" s="22">
        <v>0.67063032063781403</v>
      </c>
      <c r="E17" s="22">
        <v>0.66522182523631701</v>
      </c>
      <c r="F17" s="22"/>
      <c r="G17" s="22">
        <v>0.63737775550248998</v>
      </c>
      <c r="H17" s="22">
        <v>0.66433623977763401</v>
      </c>
      <c r="I17" s="22">
        <v>0.64203496494090095</v>
      </c>
      <c r="J17" s="22">
        <v>0.65905997460833199</v>
      </c>
      <c r="K17" s="22">
        <v>0.65749758637106304</v>
      </c>
      <c r="L17" s="22">
        <v>0.70831148076955597</v>
      </c>
      <c r="M17" s="22"/>
      <c r="N17" s="22">
        <v>0.69616916566387699</v>
      </c>
      <c r="O17" s="22">
        <v>0.776801057193102</v>
      </c>
      <c r="P17" s="22">
        <v>0.76019805779120297</v>
      </c>
      <c r="Q17" s="22">
        <v>0.70908051849784504</v>
      </c>
      <c r="R17" s="22">
        <v>0.67412131251563201</v>
      </c>
      <c r="S17" s="22">
        <v>0.54675735579637696</v>
      </c>
      <c r="T17" s="22">
        <v>0.64356604531916595</v>
      </c>
      <c r="U17" s="22">
        <v>0.63755824709771702</v>
      </c>
      <c r="V17" s="22">
        <v>0.68009902390183496</v>
      </c>
      <c r="W17" s="22"/>
      <c r="X17" s="22">
        <v>0.68259280886473395</v>
      </c>
      <c r="Y17" s="22">
        <v>0.65877144979725599</v>
      </c>
    </row>
    <row r="18" spans="2:25" x14ac:dyDescent="0.35">
      <c r="B18" s="16"/>
    </row>
    <row r="19" spans="2:25" x14ac:dyDescent="0.35">
      <c r="B19" t="s">
        <v>51</v>
      </c>
    </row>
    <row r="20" spans="2:25" x14ac:dyDescent="0.35">
      <c r="B20" t="s">
        <v>52</v>
      </c>
    </row>
    <row r="22" spans="2:25" x14ac:dyDescent="0.35">
      <c r="B22" s="8" t="str">
        <f>HYPERLINK("#'Contents'!A1", "Return to Contents")</f>
        <v>Return to Contents</v>
      </c>
    </row>
  </sheetData>
  <mergeCells count="5">
    <mergeCell ref="D5:E5"/>
    <mergeCell ref="G5:L5"/>
    <mergeCell ref="N5:V5"/>
    <mergeCell ref="X5:Y5"/>
    <mergeCell ref="D2:W2"/>
  </mergeCells>
  <pageMargins left="0.7" right="0.7" top="0.75" bottom="0.75" header="0.3" footer="0.3"/>
  <pageSetup paperSize="9" orientation="portrait" horizontalDpi="300" verticalDpi="300"/>
  <drawing r:id="rId1"/>
</worksheet>
</file>

<file path=xl/worksheets/sheet1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700-000000000000}">
  <dimension ref="B2:Y22"/>
  <sheetViews>
    <sheetView showGridLines="0" topLeftCell="A7" workbookViewId="0">
      <pane xSplit="2" topLeftCell="C1" activePane="topRight" state="frozen"/>
      <selection pane="topRight" activeCell="B19" sqref="B19"/>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s>
  <sheetData>
    <row r="2" spans="2:25" ht="40" customHeight="1" x14ac:dyDescent="0.35">
      <c r="D2" s="30" t="s">
        <v>522</v>
      </c>
      <c r="E2" s="26"/>
      <c r="F2" s="26"/>
      <c r="G2" s="26"/>
      <c r="H2" s="26"/>
      <c r="I2" s="26"/>
      <c r="J2" s="26"/>
      <c r="K2" s="26"/>
      <c r="L2" s="26"/>
      <c r="M2" s="26"/>
      <c r="N2" s="26"/>
      <c r="O2" s="26"/>
      <c r="P2" s="26"/>
      <c r="Q2" s="26"/>
      <c r="R2" s="26"/>
      <c r="S2" s="26"/>
      <c r="T2" s="26"/>
      <c r="U2" s="26"/>
      <c r="V2" s="26"/>
      <c r="W2" s="26"/>
    </row>
    <row r="5" spans="2:25" ht="30" customHeight="1" x14ac:dyDescent="0.35">
      <c r="B5" s="15"/>
      <c r="C5" s="15"/>
      <c r="D5" s="29" t="s">
        <v>38</v>
      </c>
      <c r="E5" s="29"/>
      <c r="F5" s="15"/>
      <c r="G5" s="29" t="s">
        <v>39</v>
      </c>
      <c r="H5" s="29"/>
      <c r="I5" s="29"/>
      <c r="J5" s="29"/>
      <c r="K5" s="29"/>
      <c r="L5" s="29"/>
      <c r="M5" s="15"/>
      <c r="N5" s="29" t="s">
        <v>40</v>
      </c>
      <c r="O5" s="29"/>
      <c r="P5" s="29"/>
      <c r="Q5" s="29"/>
      <c r="R5" s="29"/>
      <c r="S5" s="29"/>
      <c r="T5" s="29"/>
      <c r="U5" s="29"/>
      <c r="V5" s="29"/>
      <c r="W5" s="15"/>
      <c r="X5" s="29" t="s">
        <v>41</v>
      </c>
      <c r="Y5" s="29"/>
    </row>
    <row r="6" spans="2:25" ht="29"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row>
    <row r="7" spans="2:25" ht="30" customHeight="1" x14ac:dyDescent="0.35">
      <c r="B7" s="10" t="s">
        <v>19</v>
      </c>
      <c r="C7" s="10">
        <v>6837</v>
      </c>
      <c r="D7" s="10">
        <v>3283</v>
      </c>
      <c r="E7" s="10">
        <v>3540</v>
      </c>
      <c r="F7" s="10"/>
      <c r="G7" s="10">
        <v>635</v>
      </c>
      <c r="H7" s="10">
        <v>1075</v>
      </c>
      <c r="I7" s="10">
        <v>1093</v>
      </c>
      <c r="J7" s="10">
        <v>1228</v>
      </c>
      <c r="K7" s="10">
        <v>1156</v>
      </c>
      <c r="L7" s="10">
        <v>1650</v>
      </c>
      <c r="M7" s="10"/>
      <c r="N7" s="10">
        <v>208</v>
      </c>
      <c r="O7" s="10">
        <v>200</v>
      </c>
      <c r="P7" s="10">
        <v>1001</v>
      </c>
      <c r="Q7" s="10">
        <v>1000</v>
      </c>
      <c r="R7" s="10">
        <v>1004</v>
      </c>
      <c r="S7" s="10">
        <v>1006</v>
      </c>
      <c r="T7" s="10">
        <v>1006</v>
      </c>
      <c r="U7" s="10">
        <v>1007</v>
      </c>
      <c r="V7" s="10">
        <v>405</v>
      </c>
      <c r="W7" s="10"/>
      <c r="X7" s="10">
        <v>2650</v>
      </c>
      <c r="Y7" s="10">
        <v>4187</v>
      </c>
    </row>
    <row r="8" spans="2:25" ht="30" customHeight="1" x14ac:dyDescent="0.35">
      <c r="B8" s="11" t="s">
        <v>20</v>
      </c>
      <c r="C8" s="11">
        <v>6837</v>
      </c>
      <c r="D8" s="11">
        <v>3309</v>
      </c>
      <c r="E8" s="11">
        <v>3514</v>
      </c>
      <c r="F8" s="11"/>
      <c r="G8" s="11">
        <v>645</v>
      </c>
      <c r="H8" s="11">
        <v>1026</v>
      </c>
      <c r="I8" s="11">
        <v>1111</v>
      </c>
      <c r="J8" s="11">
        <v>1184</v>
      </c>
      <c r="K8" s="11">
        <v>1140</v>
      </c>
      <c r="L8" s="11">
        <v>1731</v>
      </c>
      <c r="M8" s="11"/>
      <c r="N8" s="11">
        <v>208</v>
      </c>
      <c r="O8" s="11">
        <v>200</v>
      </c>
      <c r="P8" s="11">
        <v>1001</v>
      </c>
      <c r="Q8" s="11">
        <v>1000</v>
      </c>
      <c r="R8" s="11">
        <v>1004</v>
      </c>
      <c r="S8" s="11">
        <v>1006</v>
      </c>
      <c r="T8" s="11">
        <v>1006</v>
      </c>
      <c r="U8" s="11">
        <v>1007</v>
      </c>
      <c r="V8" s="11">
        <v>405</v>
      </c>
      <c r="W8" s="11"/>
      <c r="X8" s="11">
        <v>2436</v>
      </c>
      <c r="Y8" s="11">
        <v>4401</v>
      </c>
    </row>
    <row r="9" spans="2:25" x14ac:dyDescent="0.35">
      <c r="B9" s="18" t="s">
        <v>276</v>
      </c>
      <c r="C9" s="17">
        <v>0.18024074405099699</v>
      </c>
      <c r="D9" s="17">
        <v>0.19976857031447401</v>
      </c>
      <c r="E9" s="17">
        <v>0.162292243592839</v>
      </c>
      <c r="F9" s="17"/>
      <c r="G9" s="17">
        <v>0.17654001517328999</v>
      </c>
      <c r="H9" s="17">
        <v>0.180301837745629</v>
      </c>
      <c r="I9" s="17">
        <v>0.189017730930996</v>
      </c>
      <c r="J9" s="17">
        <v>0.155090757930441</v>
      </c>
      <c r="K9" s="17">
        <v>0.17319445627925101</v>
      </c>
      <c r="L9" s="17">
        <v>0.19778597998762101</v>
      </c>
      <c r="M9" s="17"/>
      <c r="N9" s="17">
        <v>0.32073624706521597</v>
      </c>
      <c r="O9" s="17">
        <v>0.16124850841837801</v>
      </c>
      <c r="P9" s="17">
        <v>0.201174231181135</v>
      </c>
      <c r="Q9" s="17">
        <v>0.16710280126448199</v>
      </c>
      <c r="R9" s="17">
        <v>0.119891469557363</v>
      </c>
      <c r="S9" s="17">
        <v>0.138936207128905</v>
      </c>
      <c r="T9" s="17">
        <v>0.214655766710103</v>
      </c>
      <c r="U9" s="17">
        <v>0.21726241678752201</v>
      </c>
      <c r="V9" s="17">
        <v>0.172831652000353</v>
      </c>
      <c r="W9" s="17"/>
      <c r="X9" s="17">
        <v>0.20802020618811801</v>
      </c>
      <c r="Y9" s="17">
        <v>0.164865074382751</v>
      </c>
    </row>
    <row r="10" spans="2:25" x14ac:dyDescent="0.35">
      <c r="B10" s="18" t="s">
        <v>277</v>
      </c>
      <c r="C10" s="17">
        <v>0.37656681346291399</v>
      </c>
      <c r="D10" s="17">
        <v>0.39515860181149498</v>
      </c>
      <c r="E10" s="17">
        <v>0.35937443170640399</v>
      </c>
      <c r="F10" s="17"/>
      <c r="G10" s="17">
        <v>0.410002613560145</v>
      </c>
      <c r="H10" s="17">
        <v>0.39740959406564802</v>
      </c>
      <c r="I10" s="17">
        <v>0.38527555381352002</v>
      </c>
      <c r="J10" s="17">
        <v>0.38519286276414899</v>
      </c>
      <c r="K10" s="17">
        <v>0.34502834506234298</v>
      </c>
      <c r="L10" s="17">
        <v>0.36105472942863198</v>
      </c>
      <c r="M10" s="17"/>
      <c r="N10" s="17">
        <v>0.39142314276850798</v>
      </c>
      <c r="O10" s="17">
        <v>0.40970823702091502</v>
      </c>
      <c r="P10" s="17">
        <v>0.39982023392463301</v>
      </c>
      <c r="Q10" s="17">
        <v>0.35250556278961598</v>
      </c>
      <c r="R10" s="17">
        <v>0.38373656871825601</v>
      </c>
      <c r="S10" s="17">
        <v>0.34914637677628702</v>
      </c>
      <c r="T10" s="17">
        <v>0.40512330485848203</v>
      </c>
      <c r="U10" s="17">
        <v>0.34762834898514</v>
      </c>
      <c r="V10" s="17">
        <v>0.40586455894850798</v>
      </c>
      <c r="W10" s="17"/>
      <c r="X10" s="17">
        <v>0.42526627409665202</v>
      </c>
      <c r="Y10" s="17">
        <v>0.34961212240265999</v>
      </c>
    </row>
    <row r="11" spans="2:25" ht="29" x14ac:dyDescent="0.35">
      <c r="B11" s="18" t="s">
        <v>278</v>
      </c>
      <c r="C11" s="17">
        <v>0.25894634660668597</v>
      </c>
      <c r="D11" s="17">
        <v>0.26406978463816499</v>
      </c>
      <c r="E11" s="17">
        <v>0.25481985507608601</v>
      </c>
      <c r="F11" s="17"/>
      <c r="G11" s="17">
        <v>0.280584172837825</v>
      </c>
      <c r="H11" s="17">
        <v>0.281085388686449</v>
      </c>
      <c r="I11" s="17">
        <v>0.259176594549405</v>
      </c>
      <c r="J11" s="17">
        <v>0.26103710457114299</v>
      </c>
      <c r="K11" s="17">
        <v>0.25957842930843</v>
      </c>
      <c r="L11" s="17">
        <v>0.23578227093346099</v>
      </c>
      <c r="M11" s="17"/>
      <c r="N11" s="17">
        <v>0.131070313218693</v>
      </c>
      <c r="O11" s="17">
        <v>0.254212351192662</v>
      </c>
      <c r="P11" s="17">
        <v>0.195920991397766</v>
      </c>
      <c r="Q11" s="17">
        <v>0.31118872247447898</v>
      </c>
      <c r="R11" s="17">
        <v>0.29494857613717101</v>
      </c>
      <c r="S11" s="17">
        <v>0.27914555834641702</v>
      </c>
      <c r="T11" s="17">
        <v>0.22986662355711199</v>
      </c>
      <c r="U11" s="17">
        <v>0.278133147957421</v>
      </c>
      <c r="V11" s="17">
        <v>0.23884344559630999</v>
      </c>
      <c r="W11" s="17"/>
      <c r="X11" s="17">
        <v>0.23107476223705001</v>
      </c>
      <c r="Y11" s="17">
        <v>0.27437300505971401</v>
      </c>
    </row>
    <row r="12" spans="2:25" x14ac:dyDescent="0.35">
      <c r="B12" s="18" t="s">
        <v>279</v>
      </c>
      <c r="C12" s="17">
        <v>4.6663241763563498E-2</v>
      </c>
      <c r="D12" s="17">
        <v>4.9286522879142397E-2</v>
      </c>
      <c r="E12" s="17">
        <v>4.3523215710054498E-2</v>
      </c>
      <c r="F12" s="17"/>
      <c r="G12" s="17">
        <v>5.7321650147260199E-2</v>
      </c>
      <c r="H12" s="17">
        <v>5.40726912353491E-2</v>
      </c>
      <c r="I12" s="17">
        <v>4.3342394823893501E-2</v>
      </c>
      <c r="J12" s="17">
        <v>3.9426641814495997E-2</v>
      </c>
      <c r="K12" s="17">
        <v>4.6793653407788599E-2</v>
      </c>
      <c r="L12" s="17">
        <v>4.5299140138808897E-2</v>
      </c>
      <c r="M12" s="17"/>
      <c r="N12" s="17">
        <v>3.7840057510060698E-2</v>
      </c>
      <c r="O12" s="17">
        <v>5.1238797568631901E-2</v>
      </c>
      <c r="P12" s="17">
        <v>4.6232098780267301E-2</v>
      </c>
      <c r="Q12" s="17">
        <v>4.6153891112254902E-2</v>
      </c>
      <c r="R12" s="17">
        <v>6.0192412199023798E-2</v>
      </c>
      <c r="S12" s="17">
        <v>5.7280362449669699E-2</v>
      </c>
      <c r="T12" s="17">
        <v>2.6238027397382999E-2</v>
      </c>
      <c r="U12" s="17">
        <v>4.9848190754778698E-2</v>
      </c>
      <c r="V12" s="17">
        <v>3.4163126482230202E-2</v>
      </c>
      <c r="W12" s="17"/>
      <c r="X12" s="17">
        <v>4.2562648859793301E-2</v>
      </c>
      <c r="Y12" s="17">
        <v>4.8932881169147097E-2</v>
      </c>
    </row>
    <row r="13" spans="2:25" x14ac:dyDescent="0.35">
      <c r="B13" s="18" t="s">
        <v>280</v>
      </c>
      <c r="C13" s="17">
        <v>2.2108850446729399E-2</v>
      </c>
      <c r="D13" s="17">
        <v>2.4203613076395201E-2</v>
      </c>
      <c r="E13" s="17">
        <v>1.9968381244508199E-2</v>
      </c>
      <c r="F13" s="17"/>
      <c r="G13" s="17">
        <v>1.18243713684899E-2</v>
      </c>
      <c r="H13" s="17">
        <v>1.81776676068259E-2</v>
      </c>
      <c r="I13" s="17">
        <v>2.590943950496E-2</v>
      </c>
      <c r="J13" s="17">
        <v>2.1404072705414001E-2</v>
      </c>
      <c r="K13" s="17">
        <v>2.4448050537467399E-2</v>
      </c>
      <c r="L13" s="17">
        <v>2.4768905695894301E-2</v>
      </c>
      <c r="M13" s="17"/>
      <c r="N13" s="17">
        <v>2.1891686808429799E-2</v>
      </c>
      <c r="O13" s="17">
        <v>2.43963709214568E-2</v>
      </c>
      <c r="P13" s="17">
        <v>3.2592188562963899E-2</v>
      </c>
      <c r="Q13" s="17">
        <v>2.5480916559776998E-2</v>
      </c>
      <c r="R13" s="17">
        <v>2.10811927943509E-2</v>
      </c>
      <c r="S13" s="17">
        <v>2.56921971942011E-2</v>
      </c>
      <c r="T13" s="17">
        <v>1.56388866514959E-2</v>
      </c>
      <c r="U13" s="17">
        <v>1.42326127176897E-2</v>
      </c>
      <c r="V13" s="17">
        <v>1.6155052551454899E-2</v>
      </c>
      <c r="W13" s="17"/>
      <c r="X13" s="17">
        <v>1.6980107826061502E-2</v>
      </c>
      <c r="Y13" s="17">
        <v>2.4947561000576698E-2</v>
      </c>
    </row>
    <row r="14" spans="2:25" x14ac:dyDescent="0.35">
      <c r="B14" s="18" t="s">
        <v>224</v>
      </c>
      <c r="C14" s="17">
        <v>0.11547400366911</v>
      </c>
      <c r="D14" s="17">
        <v>6.7512907280327897E-2</v>
      </c>
      <c r="E14" s="17">
        <v>0.16002187267010801</v>
      </c>
      <c r="F14" s="17"/>
      <c r="G14" s="17">
        <v>6.3727176912990097E-2</v>
      </c>
      <c r="H14" s="17">
        <v>6.8952820660097905E-2</v>
      </c>
      <c r="I14" s="17">
        <v>9.7278286377225506E-2</v>
      </c>
      <c r="J14" s="17">
        <v>0.13784856021435701</v>
      </c>
      <c r="K14" s="17">
        <v>0.15095706540472001</v>
      </c>
      <c r="L14" s="17">
        <v>0.13530897381558299</v>
      </c>
      <c r="M14" s="17"/>
      <c r="N14" s="17">
        <v>9.7038552629092403E-2</v>
      </c>
      <c r="O14" s="17">
        <v>9.9195734877956104E-2</v>
      </c>
      <c r="P14" s="17">
        <v>0.12426025615323499</v>
      </c>
      <c r="Q14" s="17">
        <v>9.7568105799390806E-2</v>
      </c>
      <c r="R14" s="17">
        <v>0.12014978059383501</v>
      </c>
      <c r="S14" s="17">
        <v>0.149799298104521</v>
      </c>
      <c r="T14" s="17">
        <v>0.108477390825424</v>
      </c>
      <c r="U14" s="17">
        <v>9.2895282797448894E-2</v>
      </c>
      <c r="V14" s="17">
        <v>0.13214216442114399</v>
      </c>
      <c r="W14" s="17"/>
      <c r="X14" s="17">
        <v>7.6096000792324703E-2</v>
      </c>
      <c r="Y14" s="17">
        <v>0.137269355985152</v>
      </c>
    </row>
    <row r="15" spans="2:25" x14ac:dyDescent="0.35">
      <c r="B15" s="18" t="s">
        <v>281</v>
      </c>
      <c r="C15" s="21">
        <v>0.55680755751391198</v>
      </c>
      <c r="D15" s="21">
        <v>0.59492717212596902</v>
      </c>
      <c r="E15" s="21">
        <v>0.52166667529924304</v>
      </c>
      <c r="F15" s="21"/>
      <c r="G15" s="21">
        <v>0.58654262873343499</v>
      </c>
      <c r="H15" s="21">
        <v>0.57771143181127804</v>
      </c>
      <c r="I15" s="21">
        <v>0.57429328474451602</v>
      </c>
      <c r="J15" s="21">
        <v>0.54028362069459002</v>
      </c>
      <c r="K15" s="21">
        <v>0.51822280134159504</v>
      </c>
      <c r="L15" s="21">
        <v>0.55884070941625297</v>
      </c>
      <c r="M15" s="21"/>
      <c r="N15" s="21">
        <v>0.71215938983372395</v>
      </c>
      <c r="O15" s="21">
        <v>0.57095674543929298</v>
      </c>
      <c r="P15" s="21">
        <v>0.60099446510576804</v>
      </c>
      <c r="Q15" s="21">
        <v>0.51960836405409805</v>
      </c>
      <c r="R15" s="21">
        <v>0.50362803827561897</v>
      </c>
      <c r="S15" s="21">
        <v>0.48808258390519099</v>
      </c>
      <c r="T15" s="21">
        <v>0.61977907156858503</v>
      </c>
      <c r="U15" s="21">
        <v>0.56489076577266195</v>
      </c>
      <c r="V15" s="21">
        <v>0.57869621094886103</v>
      </c>
      <c r="W15" s="21"/>
      <c r="X15" s="21">
        <v>0.63328648028476997</v>
      </c>
      <c r="Y15" s="21">
        <v>0.51447719678541004</v>
      </c>
    </row>
    <row r="16" spans="2:25" x14ac:dyDescent="0.35">
      <c r="B16" s="18" t="s">
        <v>282</v>
      </c>
      <c r="C16" s="21">
        <v>6.8772092210292901E-2</v>
      </c>
      <c r="D16" s="21">
        <v>7.3490135955537494E-2</v>
      </c>
      <c r="E16" s="21">
        <v>6.3491596954562801E-2</v>
      </c>
      <c r="F16" s="21"/>
      <c r="G16" s="21">
        <v>6.9146021515750097E-2</v>
      </c>
      <c r="H16" s="21">
        <v>7.2250358842174997E-2</v>
      </c>
      <c r="I16" s="21">
        <v>6.9251834328853498E-2</v>
      </c>
      <c r="J16" s="21">
        <v>6.0830714519909998E-2</v>
      </c>
      <c r="K16" s="21">
        <v>7.1241703945255905E-2</v>
      </c>
      <c r="L16" s="21">
        <v>7.0068045834703094E-2</v>
      </c>
      <c r="M16" s="21"/>
      <c r="N16" s="21">
        <v>5.9731744318490598E-2</v>
      </c>
      <c r="O16" s="21">
        <v>7.5635168490088694E-2</v>
      </c>
      <c r="P16" s="21">
        <v>7.88242873432312E-2</v>
      </c>
      <c r="Q16" s="21">
        <v>7.1634807672031897E-2</v>
      </c>
      <c r="R16" s="21">
        <v>8.1273604993374701E-2</v>
      </c>
      <c r="S16" s="21">
        <v>8.2972559643870694E-2</v>
      </c>
      <c r="T16" s="21">
        <v>4.1876914048878999E-2</v>
      </c>
      <c r="U16" s="21">
        <v>6.4080803472468403E-2</v>
      </c>
      <c r="V16" s="21">
        <v>5.0318179033685101E-2</v>
      </c>
      <c r="W16" s="21"/>
      <c r="X16" s="21">
        <v>5.9542756685854799E-2</v>
      </c>
      <c r="Y16" s="21">
        <v>7.3880442169723795E-2</v>
      </c>
    </row>
    <row r="17" spans="2:25" x14ac:dyDescent="0.35">
      <c r="B17" s="18" t="s">
        <v>92</v>
      </c>
      <c r="C17" s="22">
        <v>0.48803546530361902</v>
      </c>
      <c r="D17" s="22">
        <v>0.52143703617043202</v>
      </c>
      <c r="E17" s="22">
        <v>0.45817507834468002</v>
      </c>
      <c r="F17" s="22"/>
      <c r="G17" s="22">
        <v>0.51739660721768499</v>
      </c>
      <c r="H17" s="22">
        <v>0.50546107296910303</v>
      </c>
      <c r="I17" s="22">
        <v>0.50504145041566295</v>
      </c>
      <c r="J17" s="22">
        <v>0.47945290617468</v>
      </c>
      <c r="K17" s="22">
        <v>0.44698109739633901</v>
      </c>
      <c r="L17" s="22">
        <v>0.48877266358155003</v>
      </c>
      <c r="M17" s="22"/>
      <c r="N17" s="22">
        <v>0.65242764551523402</v>
      </c>
      <c r="O17" s="22">
        <v>0.49532157694920398</v>
      </c>
      <c r="P17" s="22">
        <v>0.52217017776253705</v>
      </c>
      <c r="Q17" s="22">
        <v>0.44797355638206598</v>
      </c>
      <c r="R17" s="22">
        <v>0.42235443328224398</v>
      </c>
      <c r="S17" s="22">
        <v>0.40511002426131998</v>
      </c>
      <c r="T17" s="22">
        <v>0.57790215751970597</v>
      </c>
      <c r="U17" s="22">
        <v>0.50080996230019303</v>
      </c>
      <c r="V17" s="22">
        <v>0.52837803191517596</v>
      </c>
      <c r="W17" s="22"/>
      <c r="X17" s="22">
        <v>0.57374372359891501</v>
      </c>
      <c r="Y17" s="22">
        <v>0.44059675461568698</v>
      </c>
    </row>
    <row r="18" spans="2:25" x14ac:dyDescent="0.35">
      <c r="B18" s="16"/>
    </row>
    <row r="19" spans="2:25" x14ac:dyDescent="0.35">
      <c r="B19" t="s">
        <v>51</v>
      </c>
    </row>
    <row r="20" spans="2:25" x14ac:dyDescent="0.35">
      <c r="B20" t="s">
        <v>52</v>
      </c>
    </row>
    <row r="22" spans="2:25" x14ac:dyDescent="0.35">
      <c r="B22" s="8" t="str">
        <f>HYPERLINK("#'Contents'!A1", "Return to Contents")</f>
        <v>Return to Contents</v>
      </c>
    </row>
  </sheetData>
  <mergeCells count="5">
    <mergeCell ref="D5:E5"/>
    <mergeCell ref="G5:L5"/>
    <mergeCell ref="N5:V5"/>
    <mergeCell ref="X5:Y5"/>
    <mergeCell ref="D2:W2"/>
  </mergeCells>
  <pageMargins left="0.7" right="0.7" top="0.75" bottom="0.75" header="0.3" footer="0.3"/>
  <pageSetup paperSize="9" orientation="portrait" horizontalDpi="300" verticalDpi="300"/>
  <drawing r:id="rId1"/>
</worksheet>
</file>

<file path=xl/worksheets/sheet1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800-000000000000}">
  <dimension ref="B2:Y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22" width="10.7265625" customWidth="1"/>
    <col min="23" max="23" width="2.1796875" customWidth="1"/>
    <col min="24" max="25" width="10.7265625" customWidth="1"/>
    <col min="26" max="26" width="2.1796875" customWidth="1"/>
  </cols>
  <sheetData>
    <row r="2" spans="2:25" ht="40" customHeight="1" x14ac:dyDescent="0.35">
      <c r="D2" s="30" t="s">
        <v>530</v>
      </c>
      <c r="E2" s="26"/>
      <c r="F2" s="26"/>
      <c r="G2" s="26"/>
      <c r="H2" s="26"/>
      <c r="I2" s="26"/>
      <c r="J2" s="26"/>
      <c r="K2" s="26"/>
      <c r="L2" s="26"/>
      <c r="M2" s="26"/>
      <c r="N2" s="26"/>
      <c r="O2" s="26"/>
      <c r="P2" s="26"/>
      <c r="Q2" s="26"/>
      <c r="R2" s="26"/>
      <c r="S2" s="26"/>
      <c r="T2" s="26"/>
      <c r="U2" s="26"/>
      <c r="V2" s="26"/>
      <c r="W2" s="26"/>
    </row>
    <row r="5" spans="2:25" ht="30" customHeight="1" x14ac:dyDescent="0.35">
      <c r="B5" s="15"/>
      <c r="C5" s="15"/>
      <c r="D5" s="29" t="s">
        <v>38</v>
      </c>
      <c r="E5" s="29"/>
      <c r="F5" s="15"/>
      <c r="G5" s="29" t="s">
        <v>39</v>
      </c>
      <c r="H5" s="29"/>
      <c r="I5" s="29"/>
      <c r="J5" s="29"/>
      <c r="K5" s="29"/>
      <c r="L5" s="29"/>
      <c r="M5" s="15"/>
      <c r="N5" s="29" t="s">
        <v>40</v>
      </c>
      <c r="O5" s="29"/>
      <c r="P5" s="29"/>
      <c r="Q5" s="29"/>
      <c r="R5" s="29"/>
      <c r="S5" s="29"/>
      <c r="T5" s="29"/>
      <c r="U5" s="29"/>
      <c r="V5" s="29"/>
      <c r="W5" s="15"/>
      <c r="X5" s="29" t="s">
        <v>41</v>
      </c>
      <c r="Y5" s="29"/>
    </row>
    <row r="6" spans="2:25" ht="29"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S6" s="12" t="s">
        <v>32</v>
      </c>
      <c r="T6" s="12" t="s">
        <v>33</v>
      </c>
      <c r="U6" s="12" t="s">
        <v>34</v>
      </c>
      <c r="V6" s="12" t="s">
        <v>35</v>
      </c>
      <c r="X6" s="12" t="s">
        <v>36</v>
      </c>
      <c r="Y6" s="12" t="s">
        <v>37</v>
      </c>
    </row>
    <row r="7" spans="2:25" ht="30" customHeight="1" x14ac:dyDescent="0.35">
      <c r="B7" s="10" t="s">
        <v>19</v>
      </c>
      <c r="C7" s="10">
        <v>6838</v>
      </c>
      <c r="D7" s="10">
        <v>3283</v>
      </c>
      <c r="E7" s="10">
        <v>3541</v>
      </c>
      <c r="F7" s="10"/>
      <c r="G7" s="10">
        <v>635</v>
      </c>
      <c r="H7" s="10">
        <v>1075</v>
      </c>
      <c r="I7" s="10">
        <v>1093</v>
      </c>
      <c r="J7" s="10">
        <v>1228</v>
      </c>
      <c r="K7" s="10">
        <v>1156</v>
      </c>
      <c r="L7" s="10">
        <v>1651</v>
      </c>
      <c r="M7" s="10"/>
      <c r="N7" s="10">
        <v>208</v>
      </c>
      <c r="O7" s="10">
        <v>200</v>
      </c>
      <c r="P7" s="10">
        <v>1002</v>
      </c>
      <c r="Q7" s="10">
        <v>1000</v>
      </c>
      <c r="R7" s="10">
        <v>1004</v>
      </c>
      <c r="S7" s="10">
        <v>1006</v>
      </c>
      <c r="T7" s="10">
        <v>1006</v>
      </c>
      <c r="U7" s="10">
        <v>1007</v>
      </c>
      <c r="V7" s="10">
        <v>405</v>
      </c>
      <c r="W7" s="10"/>
      <c r="X7" s="10">
        <v>2650</v>
      </c>
      <c r="Y7" s="10">
        <v>4188</v>
      </c>
    </row>
    <row r="8" spans="2:25" ht="30" customHeight="1" x14ac:dyDescent="0.35">
      <c r="B8" s="11" t="s">
        <v>20</v>
      </c>
      <c r="C8" s="11">
        <v>6838</v>
      </c>
      <c r="D8" s="11">
        <v>3309</v>
      </c>
      <c r="E8" s="11">
        <v>3515</v>
      </c>
      <c r="F8" s="11"/>
      <c r="G8" s="11">
        <v>645</v>
      </c>
      <c r="H8" s="11">
        <v>1026</v>
      </c>
      <c r="I8" s="11">
        <v>1111</v>
      </c>
      <c r="J8" s="11">
        <v>1184</v>
      </c>
      <c r="K8" s="11">
        <v>1140</v>
      </c>
      <c r="L8" s="11">
        <v>1732</v>
      </c>
      <c r="M8" s="11"/>
      <c r="N8" s="11">
        <v>208</v>
      </c>
      <c r="O8" s="11">
        <v>200</v>
      </c>
      <c r="P8" s="11">
        <v>1002</v>
      </c>
      <c r="Q8" s="11">
        <v>1000</v>
      </c>
      <c r="R8" s="11">
        <v>1004</v>
      </c>
      <c r="S8" s="11">
        <v>1006</v>
      </c>
      <c r="T8" s="11">
        <v>1006</v>
      </c>
      <c r="U8" s="11">
        <v>1007</v>
      </c>
      <c r="V8" s="11">
        <v>405</v>
      </c>
      <c r="W8" s="11"/>
      <c r="X8" s="11">
        <v>2436</v>
      </c>
      <c r="Y8" s="11">
        <v>4402</v>
      </c>
    </row>
    <row r="9" spans="2:25" x14ac:dyDescent="0.35">
      <c r="B9" s="18" t="s">
        <v>523</v>
      </c>
      <c r="C9" s="17">
        <v>0.161137230917938</v>
      </c>
      <c r="D9" s="17">
        <v>0.21103502678432901</v>
      </c>
      <c r="E9" s="17">
        <v>0.114808192486496</v>
      </c>
      <c r="F9" s="17"/>
      <c r="G9" s="17">
        <v>0.15041789912058001</v>
      </c>
      <c r="H9" s="17">
        <v>0.18113319059656099</v>
      </c>
      <c r="I9" s="17">
        <v>0.185799799052451</v>
      </c>
      <c r="J9" s="17">
        <v>0.160993783417859</v>
      </c>
      <c r="K9" s="17">
        <v>0.167749659995935</v>
      </c>
      <c r="L9" s="17">
        <v>0.13321481161457799</v>
      </c>
      <c r="M9" s="17"/>
      <c r="N9" s="17">
        <v>0.188275287375617</v>
      </c>
      <c r="O9" s="17">
        <v>0.31316107667960402</v>
      </c>
      <c r="P9" s="17">
        <v>0.160159027255322</v>
      </c>
      <c r="Q9" s="17">
        <v>0.14828769497625599</v>
      </c>
      <c r="R9" s="17">
        <v>0.13615454048421699</v>
      </c>
      <c r="S9" s="17">
        <v>8.66724105900675E-2</v>
      </c>
      <c r="T9" s="17">
        <v>0.19348615837587901</v>
      </c>
      <c r="U9" s="17">
        <v>0.20206074840065799</v>
      </c>
      <c r="V9" s="17">
        <v>0.17106670853176001</v>
      </c>
      <c r="W9" s="17"/>
      <c r="X9" s="17">
        <v>0.194997612630498</v>
      </c>
      <c r="Y9" s="17">
        <v>0.14240002912399</v>
      </c>
    </row>
    <row r="10" spans="2:25" x14ac:dyDescent="0.35">
      <c r="B10" s="18" t="s">
        <v>524</v>
      </c>
      <c r="C10" s="17">
        <v>0.31356678424781398</v>
      </c>
      <c r="D10" s="17">
        <v>0.346173278454039</v>
      </c>
      <c r="E10" s="17">
        <v>0.282959813464364</v>
      </c>
      <c r="F10" s="17"/>
      <c r="G10" s="17">
        <v>0.39351385039057302</v>
      </c>
      <c r="H10" s="17">
        <v>0.38312443696142401</v>
      </c>
      <c r="I10" s="17">
        <v>0.33494862108693002</v>
      </c>
      <c r="J10" s="17">
        <v>0.28662610584753601</v>
      </c>
      <c r="K10" s="17">
        <v>0.28377903236073398</v>
      </c>
      <c r="L10" s="17">
        <v>0.26693898207775602</v>
      </c>
      <c r="M10" s="17"/>
      <c r="N10" s="17">
        <v>0.31140077005797601</v>
      </c>
      <c r="O10" s="17">
        <v>0.36548572401121898</v>
      </c>
      <c r="P10" s="17">
        <v>0.30977000442626001</v>
      </c>
      <c r="Q10" s="17">
        <v>0.31126048765568298</v>
      </c>
      <c r="R10" s="17">
        <v>0.35532090628824298</v>
      </c>
      <c r="S10" s="17">
        <v>0.22832458119219601</v>
      </c>
      <c r="T10" s="17">
        <v>0.33706065163808102</v>
      </c>
      <c r="U10" s="17">
        <v>0.30912249427642602</v>
      </c>
      <c r="V10" s="17">
        <v>0.36504950060355901</v>
      </c>
      <c r="W10" s="17"/>
      <c r="X10" s="17">
        <v>0.34616291284183198</v>
      </c>
      <c r="Y10" s="17">
        <v>0.29552917780993398</v>
      </c>
    </row>
    <row r="11" spans="2:25" x14ac:dyDescent="0.35">
      <c r="B11" s="18" t="s">
        <v>525</v>
      </c>
      <c r="C11" s="17">
        <v>0.28371676770127802</v>
      </c>
      <c r="D11" s="17">
        <v>0.26431407961734699</v>
      </c>
      <c r="E11" s="17">
        <v>0.30142657225858199</v>
      </c>
      <c r="F11" s="17"/>
      <c r="G11" s="17">
        <v>0.291961181108572</v>
      </c>
      <c r="H11" s="17">
        <v>0.26340229388656</v>
      </c>
      <c r="I11" s="17">
        <v>0.27181430135804702</v>
      </c>
      <c r="J11" s="17">
        <v>0.31621778844501403</v>
      </c>
      <c r="K11" s="17">
        <v>0.27930267316415902</v>
      </c>
      <c r="L11" s="17">
        <v>0.28100527280476101</v>
      </c>
      <c r="M11" s="17"/>
      <c r="N11" s="17">
        <v>0.25420262397597998</v>
      </c>
      <c r="O11" s="17">
        <v>0.150793167015846</v>
      </c>
      <c r="P11" s="17">
        <v>0.26858117341611698</v>
      </c>
      <c r="Q11" s="17">
        <v>0.29614367294535299</v>
      </c>
      <c r="R11" s="17">
        <v>0.29429823496740998</v>
      </c>
      <c r="S11" s="17">
        <v>0.30931485208398202</v>
      </c>
      <c r="T11" s="17">
        <v>0.31106774695281703</v>
      </c>
      <c r="U11" s="17">
        <v>0.28326335299216099</v>
      </c>
      <c r="V11" s="17">
        <v>0.21465172997891099</v>
      </c>
      <c r="W11" s="17"/>
      <c r="X11" s="17">
        <v>0.26048620087882002</v>
      </c>
      <c r="Y11" s="17">
        <v>0.296571785758524</v>
      </c>
    </row>
    <row r="12" spans="2:25" x14ac:dyDescent="0.35">
      <c r="B12" s="18" t="s">
        <v>526</v>
      </c>
      <c r="C12" s="17">
        <v>6.1984540623993202E-2</v>
      </c>
      <c r="D12" s="17">
        <v>5.5342970902369198E-2</v>
      </c>
      <c r="E12" s="17">
        <v>6.8484943916333293E-2</v>
      </c>
      <c r="F12" s="17"/>
      <c r="G12" s="17">
        <v>8.1342055507086994E-2</v>
      </c>
      <c r="H12" s="17">
        <v>5.0066065803323803E-2</v>
      </c>
      <c r="I12" s="17">
        <v>5.7364779765660998E-2</v>
      </c>
      <c r="J12" s="17">
        <v>4.8999337900718302E-2</v>
      </c>
      <c r="K12" s="17">
        <v>5.3318048872965401E-2</v>
      </c>
      <c r="L12" s="17">
        <v>7.9377499154074105E-2</v>
      </c>
      <c r="M12" s="17"/>
      <c r="N12" s="17">
        <v>5.6235718819670703E-2</v>
      </c>
      <c r="O12" s="17">
        <v>2.57305452404019E-2</v>
      </c>
      <c r="P12" s="17">
        <v>6.2538084466093199E-2</v>
      </c>
      <c r="Q12" s="17">
        <v>7.8615752670816094E-2</v>
      </c>
      <c r="R12" s="17">
        <v>4.35576725905596E-2</v>
      </c>
      <c r="S12" s="17">
        <v>0.133246294013904</v>
      </c>
      <c r="T12" s="17">
        <v>2.69290415494359E-2</v>
      </c>
      <c r="U12" s="17">
        <v>4.3705716879874699E-2</v>
      </c>
      <c r="V12" s="17">
        <v>4.1600713982163598E-2</v>
      </c>
      <c r="W12" s="17"/>
      <c r="X12" s="17">
        <v>6.79576131350169E-2</v>
      </c>
      <c r="Y12" s="17">
        <v>5.8679242239615598E-2</v>
      </c>
    </row>
    <row r="13" spans="2:25" x14ac:dyDescent="0.35">
      <c r="B13" s="18" t="s">
        <v>527</v>
      </c>
      <c r="C13" s="17">
        <v>4.57386501864048E-2</v>
      </c>
      <c r="D13" s="17">
        <v>4.1141375340586303E-2</v>
      </c>
      <c r="E13" s="17">
        <v>4.99351349453531E-2</v>
      </c>
      <c r="F13" s="17"/>
      <c r="G13" s="17">
        <v>1.9074453475061998E-2</v>
      </c>
      <c r="H13" s="17">
        <v>3.6759876242764999E-2</v>
      </c>
      <c r="I13" s="17">
        <v>3.9273151022485998E-2</v>
      </c>
      <c r="J13" s="17">
        <v>4.18896892426922E-2</v>
      </c>
      <c r="K13" s="17">
        <v>5.25453626913314E-2</v>
      </c>
      <c r="L13" s="17">
        <v>6.3274128477342304E-2</v>
      </c>
      <c r="M13" s="17"/>
      <c r="N13" s="17">
        <v>6.5243162564399604E-2</v>
      </c>
      <c r="O13" s="17">
        <v>7.7936804837924296E-3</v>
      </c>
      <c r="P13" s="17">
        <v>5.0675409399956899E-2</v>
      </c>
      <c r="Q13" s="17">
        <v>4.9306215990975698E-2</v>
      </c>
      <c r="R13" s="17">
        <v>1.72426669290929E-2</v>
      </c>
      <c r="S13" s="17">
        <v>0.107676098176183</v>
      </c>
      <c r="T13" s="17">
        <v>1.7786946661427099E-2</v>
      </c>
      <c r="U13" s="17">
        <v>3.7087447990526698E-2</v>
      </c>
      <c r="V13" s="17">
        <v>4.1170565493443001E-2</v>
      </c>
      <c r="W13" s="17"/>
      <c r="X13" s="17">
        <v>3.9495802364603497E-2</v>
      </c>
      <c r="Y13" s="17">
        <v>4.9193233197281097E-2</v>
      </c>
    </row>
    <row r="14" spans="2:25" x14ac:dyDescent="0.35">
      <c r="B14" s="18" t="s">
        <v>80</v>
      </c>
      <c r="C14" s="17">
        <v>0.13385602632257099</v>
      </c>
      <c r="D14" s="17">
        <v>8.19932689013292E-2</v>
      </c>
      <c r="E14" s="17">
        <v>0.18238534292887201</v>
      </c>
      <c r="F14" s="17"/>
      <c r="G14" s="17">
        <v>6.3690560398125498E-2</v>
      </c>
      <c r="H14" s="17">
        <v>8.55141365093669E-2</v>
      </c>
      <c r="I14" s="17">
        <v>0.110799347714425</v>
      </c>
      <c r="J14" s="17">
        <v>0.14527329514618101</v>
      </c>
      <c r="K14" s="17">
        <v>0.16330522291487501</v>
      </c>
      <c r="L14" s="17">
        <v>0.17618930587148901</v>
      </c>
      <c r="M14" s="17"/>
      <c r="N14" s="17">
        <v>0.124642437206356</v>
      </c>
      <c r="O14" s="17">
        <v>0.137035806569136</v>
      </c>
      <c r="P14" s="17">
        <v>0.14827630103625</v>
      </c>
      <c r="Q14" s="17">
        <v>0.11638617576091601</v>
      </c>
      <c r="R14" s="17">
        <v>0.153425978740478</v>
      </c>
      <c r="S14" s="17">
        <v>0.13476576394366699</v>
      </c>
      <c r="T14" s="17">
        <v>0.11366945482236</v>
      </c>
      <c r="U14" s="17">
        <v>0.124760239460354</v>
      </c>
      <c r="V14" s="17">
        <v>0.16646078141016299</v>
      </c>
      <c r="W14" s="17"/>
      <c r="X14" s="17">
        <v>9.0899858149230003E-2</v>
      </c>
      <c r="Y14" s="17">
        <v>0.15762653187065501</v>
      </c>
    </row>
    <row r="15" spans="2:25" x14ac:dyDescent="0.35">
      <c r="B15" s="18" t="s">
        <v>528</v>
      </c>
      <c r="C15" s="21">
        <v>0.474704015165753</v>
      </c>
      <c r="D15" s="21">
        <v>0.55720830523836795</v>
      </c>
      <c r="E15" s="21">
        <v>0.39776800595085998</v>
      </c>
      <c r="F15" s="21"/>
      <c r="G15" s="21">
        <v>0.54393174951115397</v>
      </c>
      <c r="H15" s="21">
        <v>0.56425762755798403</v>
      </c>
      <c r="I15" s="21">
        <v>0.52074842013938105</v>
      </c>
      <c r="J15" s="21">
        <v>0.44761988926539498</v>
      </c>
      <c r="K15" s="21">
        <v>0.45152869235666898</v>
      </c>
      <c r="L15" s="21">
        <v>0.400153793692334</v>
      </c>
      <c r="M15" s="21"/>
      <c r="N15" s="21">
        <v>0.499676057433593</v>
      </c>
      <c r="O15" s="21">
        <v>0.67864680069082295</v>
      </c>
      <c r="P15" s="21">
        <v>0.46992903168158201</v>
      </c>
      <c r="Q15" s="21">
        <v>0.45954818263194003</v>
      </c>
      <c r="R15" s="21">
        <v>0.49147544677245902</v>
      </c>
      <c r="S15" s="21">
        <v>0.31499699178226398</v>
      </c>
      <c r="T15" s="21">
        <v>0.53054681001395998</v>
      </c>
      <c r="U15" s="21">
        <v>0.51118324267708404</v>
      </c>
      <c r="V15" s="21">
        <v>0.53611620913531999</v>
      </c>
      <c r="W15" s="21"/>
      <c r="X15" s="21">
        <v>0.54116052547232996</v>
      </c>
      <c r="Y15" s="21">
        <v>0.43792920693392401</v>
      </c>
    </row>
    <row r="16" spans="2:25" x14ac:dyDescent="0.35">
      <c r="B16" s="18" t="s">
        <v>529</v>
      </c>
      <c r="C16" s="21">
        <v>0.107723190810398</v>
      </c>
      <c r="D16" s="21">
        <v>9.6484346242955502E-2</v>
      </c>
      <c r="E16" s="21">
        <v>0.118420078861686</v>
      </c>
      <c r="F16" s="21"/>
      <c r="G16" s="21">
        <v>0.100416508982149</v>
      </c>
      <c r="H16" s="21">
        <v>8.6825942046088803E-2</v>
      </c>
      <c r="I16" s="21">
        <v>9.6637930788146906E-2</v>
      </c>
      <c r="J16" s="21">
        <v>9.0889027143410503E-2</v>
      </c>
      <c r="K16" s="21">
        <v>0.105863411564297</v>
      </c>
      <c r="L16" s="21">
        <v>0.14265162763141601</v>
      </c>
      <c r="M16" s="21"/>
      <c r="N16" s="21">
        <v>0.12147888138406999</v>
      </c>
      <c r="O16" s="21">
        <v>3.3524225724194397E-2</v>
      </c>
      <c r="P16" s="21">
        <v>0.11321349386604999</v>
      </c>
      <c r="Q16" s="21">
        <v>0.12792196866179201</v>
      </c>
      <c r="R16" s="21">
        <v>6.0800339519652503E-2</v>
      </c>
      <c r="S16" s="21">
        <v>0.24092239219008699</v>
      </c>
      <c r="T16" s="21">
        <v>4.4715988210862999E-2</v>
      </c>
      <c r="U16" s="21">
        <v>8.0793164870401404E-2</v>
      </c>
      <c r="V16" s="21">
        <v>8.2771279475606599E-2</v>
      </c>
      <c r="W16" s="21"/>
      <c r="X16" s="21">
        <v>0.10745341549961999</v>
      </c>
      <c r="Y16" s="21">
        <v>0.107872475436897</v>
      </c>
    </row>
    <row r="17" spans="2:25" x14ac:dyDescent="0.35">
      <c r="B17" s="18" t="s">
        <v>92</v>
      </c>
      <c r="C17" s="22">
        <v>0.107723190810398</v>
      </c>
      <c r="D17" s="22">
        <v>9.6484346242955502E-2</v>
      </c>
      <c r="E17" s="22">
        <v>0.118420078861686</v>
      </c>
      <c r="F17" s="22"/>
      <c r="G17" s="22">
        <v>0.100416508982149</v>
      </c>
      <c r="H17" s="22">
        <v>8.6825942046088803E-2</v>
      </c>
      <c r="I17" s="22">
        <v>9.6637930788146906E-2</v>
      </c>
      <c r="J17" s="22">
        <v>9.0889027143410503E-2</v>
      </c>
      <c r="K17" s="22">
        <v>0.105863411564297</v>
      </c>
      <c r="L17" s="22">
        <v>0.14265162763141601</v>
      </c>
      <c r="M17" s="22"/>
      <c r="N17" s="22">
        <v>0.12147888138406999</v>
      </c>
      <c r="O17" s="22">
        <v>3.3524225724194397E-2</v>
      </c>
      <c r="P17" s="22">
        <v>0.11321349386604999</v>
      </c>
      <c r="Q17" s="22">
        <v>0.12792196866179201</v>
      </c>
      <c r="R17" s="22">
        <v>6.0800339519652503E-2</v>
      </c>
      <c r="S17" s="22">
        <v>0.24092239219008699</v>
      </c>
      <c r="T17" s="22">
        <v>4.4715988210862999E-2</v>
      </c>
      <c r="U17" s="22">
        <v>8.0793164870401404E-2</v>
      </c>
      <c r="V17" s="22">
        <v>8.2771279475606599E-2</v>
      </c>
      <c r="W17" s="22"/>
      <c r="X17" s="22">
        <v>0.10745341549961999</v>
      </c>
      <c r="Y17" s="22">
        <v>0.107872475436897</v>
      </c>
    </row>
    <row r="18" spans="2:25" x14ac:dyDescent="0.35">
      <c r="B18" s="16"/>
    </row>
    <row r="19" spans="2:25" x14ac:dyDescent="0.35">
      <c r="B19" t="s">
        <v>51</v>
      </c>
    </row>
    <row r="20" spans="2:25" x14ac:dyDescent="0.35">
      <c r="B20" t="s">
        <v>52</v>
      </c>
    </row>
    <row r="22" spans="2:25" x14ac:dyDescent="0.35">
      <c r="B22" s="8" t="str">
        <f>HYPERLINK("#'Contents'!A1", "Return to Contents")</f>
        <v>Return to Contents</v>
      </c>
    </row>
  </sheetData>
  <mergeCells count="5">
    <mergeCell ref="D5:E5"/>
    <mergeCell ref="G5:L5"/>
    <mergeCell ref="N5:V5"/>
    <mergeCell ref="X5:Y5"/>
    <mergeCell ref="D2:W2"/>
  </mergeCells>
  <pageMargins left="0.7" right="0.7" top="0.75" bottom="0.75" header="0.3" footer="0.3"/>
  <pageSetup paperSize="9" orientation="portrait" horizontalDpi="300" verticalDpi="30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170</vt:i4>
      </vt:variant>
    </vt:vector>
  </HeadingPairs>
  <TitlesOfParts>
    <vt:vector size="170" baseType="lpstr">
      <vt:lpstr>Rebases</vt:lpstr>
      <vt:lpstr>Cover Sheet</vt:lpstr>
      <vt:lpstr>Contents</vt:lpstr>
      <vt:lpstr>Full Results</vt: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Table 16</vt:lpstr>
      <vt:lpstr>Table 17</vt:lpstr>
      <vt:lpstr>Table 18</vt:lpstr>
      <vt:lpstr>Table 19</vt:lpstr>
      <vt:lpstr>Table 20</vt:lpstr>
      <vt:lpstr>Table 21</vt:lpstr>
      <vt:lpstr>Table 22</vt:lpstr>
      <vt:lpstr>Table 23</vt:lpstr>
      <vt:lpstr>Table 24</vt:lpstr>
      <vt:lpstr>Table 25</vt:lpstr>
      <vt:lpstr>Table 26</vt:lpstr>
      <vt:lpstr>Table 27</vt:lpstr>
      <vt:lpstr>Table 28</vt:lpstr>
      <vt:lpstr>Table 29</vt:lpstr>
      <vt:lpstr>Table 30</vt:lpstr>
      <vt:lpstr>Table 31</vt:lpstr>
      <vt:lpstr>Table 32</vt:lpstr>
      <vt:lpstr>Table 33</vt:lpstr>
      <vt:lpstr>Table 34</vt:lpstr>
      <vt:lpstr>Table 35</vt:lpstr>
      <vt:lpstr>Table 36</vt:lpstr>
      <vt:lpstr>Table 37</vt:lpstr>
      <vt:lpstr>Table 38</vt:lpstr>
      <vt:lpstr>Table 39</vt:lpstr>
      <vt:lpstr>Table 40</vt:lpstr>
      <vt:lpstr>Table 41</vt:lpstr>
      <vt:lpstr>Table 42</vt:lpstr>
      <vt:lpstr>Table 43</vt:lpstr>
      <vt:lpstr>Table 44</vt:lpstr>
      <vt:lpstr>Table 45</vt:lpstr>
      <vt:lpstr>Table 46</vt:lpstr>
      <vt:lpstr>Table 47</vt:lpstr>
      <vt:lpstr>Table 48</vt:lpstr>
      <vt:lpstr>Table 49</vt:lpstr>
      <vt:lpstr>Table 50</vt:lpstr>
      <vt:lpstr>Table 51</vt:lpstr>
      <vt:lpstr>Table 52</vt:lpstr>
      <vt:lpstr>Table 53</vt:lpstr>
      <vt:lpstr>Table 54</vt:lpstr>
      <vt:lpstr>Table 55</vt:lpstr>
      <vt:lpstr>Table 56</vt:lpstr>
      <vt:lpstr>Table 57</vt:lpstr>
      <vt:lpstr>Table 58</vt:lpstr>
      <vt:lpstr>Table 59</vt:lpstr>
      <vt:lpstr>Table 60</vt:lpstr>
      <vt:lpstr>Table 61</vt:lpstr>
      <vt:lpstr>Table 62</vt:lpstr>
      <vt:lpstr>Table 63</vt:lpstr>
      <vt:lpstr>Table 64</vt:lpstr>
      <vt:lpstr>Table 65</vt:lpstr>
      <vt:lpstr>Table 66</vt:lpstr>
      <vt:lpstr>Table 67</vt:lpstr>
      <vt:lpstr>Table 68</vt:lpstr>
      <vt:lpstr>Table 69</vt:lpstr>
      <vt:lpstr>Table 70</vt:lpstr>
      <vt:lpstr>Table 71</vt:lpstr>
      <vt:lpstr>Table 72</vt:lpstr>
      <vt:lpstr>Table 73</vt:lpstr>
      <vt:lpstr>Table 74</vt:lpstr>
      <vt:lpstr>Table 75</vt:lpstr>
      <vt:lpstr>Table 76</vt:lpstr>
      <vt:lpstr>Table 77</vt:lpstr>
      <vt:lpstr>Table 78</vt:lpstr>
      <vt:lpstr>Table 79</vt:lpstr>
      <vt:lpstr>Table 80</vt:lpstr>
      <vt:lpstr>Table 81</vt:lpstr>
      <vt:lpstr>Table 82</vt:lpstr>
      <vt:lpstr>Table 83</vt:lpstr>
      <vt:lpstr>Table 84</vt:lpstr>
      <vt:lpstr>Table 85</vt:lpstr>
      <vt:lpstr>Table 86</vt:lpstr>
      <vt:lpstr>Table 87</vt:lpstr>
      <vt:lpstr>Table 88</vt:lpstr>
      <vt:lpstr>Table 89</vt:lpstr>
      <vt:lpstr>Table 90</vt:lpstr>
      <vt:lpstr>Table 91</vt:lpstr>
      <vt:lpstr>Table 92</vt:lpstr>
      <vt:lpstr>Table 93</vt:lpstr>
      <vt:lpstr>Table 94</vt:lpstr>
      <vt:lpstr>Table 95</vt:lpstr>
      <vt:lpstr>Table 96</vt:lpstr>
      <vt:lpstr>Table 97</vt:lpstr>
      <vt:lpstr>Table 98</vt:lpstr>
      <vt:lpstr>Table 99</vt:lpstr>
      <vt:lpstr>Table 100</vt:lpstr>
      <vt:lpstr>Table 101</vt:lpstr>
      <vt:lpstr>Table 102</vt:lpstr>
      <vt:lpstr>Table 103</vt:lpstr>
      <vt:lpstr>Table 104</vt:lpstr>
      <vt:lpstr>Table 105</vt:lpstr>
      <vt:lpstr>Table 106</vt:lpstr>
      <vt:lpstr>Table 107</vt:lpstr>
      <vt:lpstr>Table 108</vt:lpstr>
      <vt:lpstr>Table 109</vt:lpstr>
      <vt:lpstr>Table 110</vt:lpstr>
      <vt:lpstr>Table 111</vt:lpstr>
      <vt:lpstr>Table 112</vt:lpstr>
      <vt:lpstr>Table 113</vt:lpstr>
      <vt:lpstr>Table 114</vt:lpstr>
      <vt:lpstr>Table 115</vt:lpstr>
      <vt:lpstr>Table 116</vt:lpstr>
      <vt:lpstr>Table 117</vt:lpstr>
      <vt:lpstr>Table 118</vt:lpstr>
      <vt:lpstr>Table 119</vt:lpstr>
      <vt:lpstr>Table 120</vt:lpstr>
      <vt:lpstr>Table 121</vt:lpstr>
      <vt:lpstr>Table 122</vt:lpstr>
      <vt:lpstr>Table 123</vt:lpstr>
      <vt:lpstr>Table 124</vt:lpstr>
      <vt:lpstr>Table 125</vt:lpstr>
      <vt:lpstr>Table 126</vt:lpstr>
      <vt:lpstr>Table 127</vt:lpstr>
      <vt:lpstr>Table 128</vt:lpstr>
      <vt:lpstr>Table 129</vt:lpstr>
      <vt:lpstr>Table 130</vt:lpstr>
      <vt:lpstr>Table 131</vt:lpstr>
      <vt:lpstr>Table 132</vt:lpstr>
      <vt:lpstr>Table 133</vt:lpstr>
      <vt:lpstr>Table 134</vt:lpstr>
      <vt:lpstr>Table 135</vt:lpstr>
      <vt:lpstr>Table 136</vt:lpstr>
      <vt:lpstr>Table 137</vt:lpstr>
      <vt:lpstr>Table 138</vt:lpstr>
      <vt:lpstr>Table 139</vt:lpstr>
      <vt:lpstr>Table 140</vt:lpstr>
      <vt:lpstr>Table 141</vt:lpstr>
      <vt:lpstr>Table 142</vt:lpstr>
      <vt:lpstr>Table 143</vt:lpstr>
      <vt:lpstr>Table 144</vt:lpstr>
      <vt:lpstr>Table 145</vt:lpstr>
      <vt:lpstr>Table 146</vt:lpstr>
      <vt:lpstr>Table 147</vt:lpstr>
      <vt:lpstr>Table 148</vt:lpstr>
      <vt:lpstr>Table 149</vt:lpstr>
      <vt:lpstr>Table 150</vt:lpstr>
      <vt:lpstr>Table 151</vt:lpstr>
      <vt:lpstr>Table 152</vt:lpstr>
      <vt:lpstr>Table 153</vt:lpstr>
      <vt:lpstr>Table 154</vt:lpstr>
      <vt:lpstr>Table 155</vt:lpstr>
      <vt:lpstr>Table 156</vt:lpstr>
      <vt:lpstr>Table 157</vt:lpstr>
      <vt:lpstr>Table 158</vt:lpstr>
      <vt:lpstr>Table 159</vt:lpstr>
      <vt:lpstr>Table 160</vt:lpstr>
      <vt:lpstr>Table 161</vt:lpstr>
      <vt:lpstr>Table 162</vt:lpstr>
      <vt:lpstr>Table 163</vt:lpstr>
      <vt:lpstr>Table 164</vt:lpstr>
      <vt:lpstr>Table 165</vt:lpstr>
      <vt:lpstr>Table 166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BenMurphy</dc:creator>
  <cp:lastModifiedBy>Ben Murphy</cp:lastModifiedBy>
  <dcterms:created xsi:type="dcterms:W3CDTF">2022-05-09T13:27:07Z</dcterms:created>
  <dcterms:modified xsi:type="dcterms:W3CDTF">2022-05-09T12:38:50Z</dcterms:modified>
</cp:coreProperties>
</file>